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spreadsheetml.chartsheet+xml" PartName="/xl/chartsheets/sheet1.xml"/>
  <Override ContentType="application/vnd.openxmlformats-officedocument.spreadsheetml.connections+xml" PartName="/xl/connection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lexy\2019\investment tracking spreadsheet\"/>
    </mc:Choice>
  </mc:AlternateContent>
  <bookViews>
    <workbookView xWindow="0" yWindow="0" windowWidth="20490" windowHeight="7755" tabRatio="805"/>
  </bookViews>
  <sheets>
    <sheet name="Portfolio Formatted" sheetId="19" r:id="rId1"/>
    <sheet name="Allocation" sheetId="23" r:id="rId2"/>
    <sheet name="DRIP - Q" sheetId="2" r:id="rId3"/>
    <sheet name="DRIP - S" sheetId="14" r:id="rId4"/>
    <sheet name="DRIP - M" sheetId="13" r:id="rId5"/>
    <sheet name="Principle_needed" sheetId="21" r:id="rId6"/>
    <sheet name="Fibonacci" sheetId="20" r:id="rId7"/>
    <sheet name="Yearly Dividends" sheetId="16" r:id="rId8"/>
    <sheet name="Yearly Graphic" sheetId="17" r:id="rId9"/>
    <sheet name="Monthly Dividends" sheetId="24" r:id="rId10"/>
    <sheet name="Dividends Recieved" sheetId="11" r:id="rId11"/>
    <sheet name="Youtube Income" sheetId="26" r:id="rId12"/>
  </sheets>
  <definedNames>
    <definedName name="MSN_MoneyCentral_Investor_Stock_Quotes" localSheetId="0">'Portfolio Formatted'!#REF!</definedName>
  </definedNames>
  <calcPr calcId="152511"/>
</workbook>
</file>

<file path=xl/calcChain.xml><?xml version="1.0" encoding="utf-8"?>
<calcChain xmlns="http://schemas.openxmlformats.org/spreadsheetml/2006/main">
  <c r="E89" i="26" l="1"/>
  <c r="E90" i="26" s="1"/>
  <c r="E91" i="26" s="1"/>
  <c r="E92" i="26" s="1"/>
  <c r="E93" i="26" s="1"/>
  <c r="E94" i="26" s="1"/>
  <c r="E95" i="26" s="1"/>
  <c r="E96" i="26" s="1"/>
  <c r="E97" i="26" s="1"/>
  <c r="E98" i="26" s="1"/>
  <c r="E99" i="26" s="1"/>
  <c r="E100" i="26" s="1"/>
  <c r="E101" i="26" s="1"/>
  <c r="E102" i="26" s="1"/>
  <c r="E103" i="26" s="1"/>
  <c r="E104" i="26" s="1"/>
  <c r="E105" i="26" s="1"/>
  <c r="E106" i="26" s="1"/>
  <c r="E107" i="26" s="1"/>
  <c r="E108" i="26" s="1"/>
  <c r="E109" i="26" s="1"/>
  <c r="E110" i="26" s="1"/>
  <c r="E111" i="26" s="1"/>
  <c r="E112" i="26" s="1"/>
  <c r="E113" i="26" s="1"/>
  <c r="E114" i="26" s="1"/>
  <c r="E115" i="26" s="1"/>
  <c r="E116" i="26" s="1"/>
  <c r="E117" i="26" s="1"/>
  <c r="E118" i="26" s="1"/>
  <c r="E119" i="26" s="1"/>
  <c r="E120" i="26" s="1"/>
  <c r="E121" i="26" s="1"/>
  <c r="E122" i="26" s="1"/>
  <c r="O7" i="26"/>
  <c r="O6" i="26"/>
  <c r="O5" i="26"/>
  <c r="E89" i="24"/>
  <c r="E90" i="24" s="1"/>
  <c r="E91" i="24" s="1"/>
  <c r="E92" i="24" s="1"/>
  <c r="E93" i="24" s="1"/>
  <c r="E94" i="24" s="1"/>
  <c r="E95" i="24" s="1"/>
  <c r="E96" i="24" s="1"/>
  <c r="E97" i="24" s="1"/>
  <c r="E98" i="24" s="1"/>
  <c r="E99" i="24" s="1"/>
  <c r="E100" i="24" s="1"/>
  <c r="E101" i="24" s="1"/>
  <c r="E102" i="24" s="1"/>
  <c r="E103" i="24" s="1"/>
  <c r="E104" i="24" s="1"/>
  <c r="E105" i="24" s="1"/>
  <c r="E106" i="24" s="1"/>
  <c r="E107" i="24" s="1"/>
  <c r="E108" i="24" s="1"/>
  <c r="E109" i="24" s="1"/>
  <c r="E110" i="24" s="1"/>
  <c r="E111" i="24" s="1"/>
  <c r="E112" i="24" s="1"/>
  <c r="E113" i="24" s="1"/>
  <c r="E114" i="24" s="1"/>
  <c r="E115" i="24" s="1"/>
  <c r="E116" i="24" s="1"/>
  <c r="E117" i="24" s="1"/>
  <c r="E118" i="24" s="1"/>
  <c r="E119" i="24" s="1"/>
  <c r="E120" i="24" s="1"/>
  <c r="E121" i="24" s="1"/>
  <c r="E122" i="24" s="1"/>
  <c r="F88" i="19"/>
  <c r="F87" i="19"/>
  <c r="F86" i="19"/>
  <c r="F16" i="19"/>
  <c r="E21" i="19"/>
  <c r="L21" i="19"/>
  <c r="M21" i="19"/>
  <c r="N21" i="19" s="1"/>
  <c r="O21" i="19"/>
  <c r="F21" i="19"/>
  <c r="V21" i="19" s="1"/>
  <c r="R93" i="11"/>
  <c r="R77" i="11"/>
  <c r="I21" i="19" l="1"/>
  <c r="D21" i="19"/>
  <c r="X21" i="19"/>
  <c r="F105" i="11"/>
  <c r="I106" i="11" s="1"/>
  <c r="L109" i="11" s="1"/>
  <c r="O104" i="11" s="1"/>
  <c r="R103" i="11" s="1"/>
  <c r="S47" i="19"/>
  <c r="S65" i="19"/>
  <c r="F65" i="19"/>
  <c r="S46" i="19"/>
  <c r="S44" i="19"/>
  <c r="S29" i="19"/>
  <c r="S28" i="19"/>
  <c r="S30" i="19"/>
  <c r="S23" i="19"/>
  <c r="S22" i="19"/>
  <c r="S20" i="19"/>
  <c r="S19" i="19"/>
  <c r="S16" i="19"/>
  <c r="S14" i="19"/>
  <c r="S10" i="19"/>
  <c r="S6" i="19"/>
  <c r="X103" i="11" l="1"/>
  <c r="AA106" i="11" s="1"/>
  <c r="AD111" i="11" s="1"/>
  <c r="AG104" i="11" s="1"/>
  <c r="AJ106" i="11" s="1"/>
  <c r="AM111" i="11" s="1"/>
  <c r="U110" i="11"/>
  <c r="M5" i="19"/>
  <c r="L5" i="19"/>
  <c r="F25" i="19"/>
  <c r="B22" i="23"/>
  <c r="J75" i="19"/>
  <c r="G75" i="19"/>
  <c r="AA15" i="19"/>
  <c r="O15" i="19"/>
  <c r="M15" i="19"/>
  <c r="C22" i="23" s="1"/>
  <c r="L15" i="19"/>
  <c r="E15" i="19" s="1"/>
  <c r="I15" i="19"/>
  <c r="D15" i="19"/>
  <c r="R69" i="11"/>
  <c r="R73" i="11"/>
  <c r="R71" i="11"/>
  <c r="R74" i="11"/>
  <c r="R76" i="11"/>
  <c r="R70" i="11"/>
  <c r="R68" i="11"/>
  <c r="N15" i="19" l="1"/>
  <c r="AA24" i="19"/>
  <c r="T24" i="19"/>
  <c r="O24" i="19"/>
  <c r="L24" i="19"/>
  <c r="E24" i="19" s="1"/>
  <c r="M24" i="19"/>
  <c r="I24" i="19"/>
  <c r="D24" i="19"/>
  <c r="L124" i="11"/>
  <c r="Y24" i="19" l="1"/>
  <c r="C28" i="23"/>
  <c r="N24" i="19"/>
  <c r="B53" i="23"/>
  <c r="B54" i="23"/>
  <c r="B55" i="23"/>
  <c r="B56" i="23"/>
  <c r="B42" i="23"/>
  <c r="B43" i="23"/>
  <c r="B44" i="23"/>
  <c r="B45" i="23"/>
  <c r="B46" i="23"/>
  <c r="B47" i="23"/>
  <c r="B48" i="23"/>
  <c r="B49" i="23"/>
  <c r="B50" i="23"/>
  <c r="B51" i="23"/>
  <c r="B52" i="23"/>
  <c r="B18" i="23"/>
  <c r="B19" i="23"/>
  <c r="B20" i="23"/>
  <c r="B21" i="23"/>
  <c r="B23" i="23"/>
  <c r="B24" i="23"/>
  <c r="B25" i="23"/>
  <c r="B26" i="23"/>
  <c r="B27" i="23"/>
  <c r="B29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17" i="23"/>
  <c r="U80" i="11"/>
  <c r="AD81" i="11" s="1"/>
  <c r="U70" i="11"/>
  <c r="X73" i="11" s="1"/>
  <c r="AA78" i="11" s="1"/>
  <c r="AD71" i="11" s="1"/>
  <c r="AG73" i="11" s="1"/>
  <c r="AJ76" i="11" s="1"/>
  <c r="AA70" i="11"/>
  <c r="AJ69" i="11" s="1"/>
  <c r="F20" i="19"/>
  <c r="T46" i="19" l="1"/>
  <c r="T43" i="19"/>
  <c r="AA62" i="19"/>
  <c r="W65" i="19"/>
  <c r="V65" i="19"/>
  <c r="O46" i="19"/>
  <c r="F75" i="19"/>
  <c r="AA71" i="19"/>
  <c r="AA74" i="19"/>
  <c r="AA75" i="19"/>
  <c r="AA9" i="19"/>
  <c r="AA66" i="19"/>
  <c r="AA65" i="19"/>
  <c r="AA43" i="19"/>
  <c r="AA22" i="19"/>
  <c r="T22" i="19"/>
  <c r="G7" i="16"/>
  <c r="F108" i="11"/>
  <c r="E89" i="16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E109" i="16" s="1"/>
  <c r="E110" i="16" s="1"/>
  <c r="E111" i="16" s="1"/>
  <c r="E112" i="16" s="1"/>
  <c r="E113" i="16" s="1"/>
  <c r="E114" i="16" s="1"/>
  <c r="E115" i="16" s="1"/>
  <c r="E116" i="16" s="1"/>
  <c r="E117" i="16" s="1"/>
  <c r="E118" i="16" s="1"/>
  <c r="E119" i="16" s="1"/>
  <c r="E120" i="16" s="1"/>
  <c r="E121" i="16" s="1"/>
  <c r="E122" i="16" s="1"/>
  <c r="AM106" i="11"/>
  <c r="AD105" i="11"/>
  <c r="U105" i="11"/>
  <c r="L104" i="11"/>
  <c r="AJ72" i="11"/>
  <c r="AA72" i="11"/>
  <c r="R72" i="11"/>
  <c r="R95" i="11" s="1"/>
  <c r="H7" i="24" s="1"/>
  <c r="L22" i="19"/>
  <c r="E22" i="19" s="1"/>
  <c r="M22" i="19"/>
  <c r="I22" i="19"/>
  <c r="O22" i="19"/>
  <c r="F22" i="19"/>
  <c r="D22" i="19" s="1"/>
  <c r="W22" i="19" l="1"/>
  <c r="V22" i="19"/>
  <c r="X22" i="19" s="1"/>
  <c r="C26" i="23"/>
  <c r="N22" i="19"/>
  <c r="Y22" i="19"/>
  <c r="F81" i="19"/>
  <c r="F74" i="19"/>
  <c r="F72" i="19"/>
  <c r="W26" i="19"/>
  <c r="V26" i="19"/>
  <c r="T26" i="19"/>
  <c r="V20" i="19"/>
  <c r="W20" i="19"/>
  <c r="W9" i="19"/>
  <c r="V9" i="19"/>
  <c r="T9" i="19"/>
  <c r="G78" i="19" l="1"/>
  <c r="J78" i="19"/>
  <c r="L78" i="19" s="1"/>
  <c r="L84" i="11"/>
  <c r="U82" i="11" s="1"/>
  <c r="AD83" i="11" s="1"/>
  <c r="L78" i="11"/>
  <c r="O65" i="19"/>
  <c r="M65" i="19"/>
  <c r="C41" i="23" s="1"/>
  <c r="L65" i="19"/>
  <c r="T65" i="19"/>
  <c r="D65" i="19"/>
  <c r="E65" i="19"/>
  <c r="F43" i="19"/>
  <c r="W43" i="19" l="1"/>
  <c r="V43" i="19"/>
  <c r="I43" i="19"/>
  <c r="AJ109" i="11"/>
  <c r="AK110" i="11" s="1"/>
  <c r="R108" i="11"/>
  <c r="S108" i="11" s="1"/>
  <c r="AA109" i="11"/>
  <c r="AB110" i="11" s="1"/>
  <c r="I109" i="11"/>
  <c r="Y65" i="19"/>
  <c r="X65" i="19"/>
  <c r="N65" i="19"/>
  <c r="I65" i="19"/>
  <c r="I74" i="11"/>
  <c r="J79" i="11"/>
  <c r="H81" i="19"/>
  <c r="AA81" i="19" s="1"/>
  <c r="U69" i="11"/>
  <c r="X69" i="11" s="1"/>
  <c r="AA69" i="11" s="1"/>
  <c r="AD68" i="11" s="1"/>
  <c r="AG68" i="11" s="1"/>
  <c r="AJ70" i="11" s="1"/>
  <c r="AD114" i="11"/>
  <c r="AA81" i="11"/>
  <c r="O111" i="11"/>
  <c r="F40" i="19"/>
  <c r="AM126" i="11"/>
  <c r="AD128" i="11"/>
  <c r="B105" i="11"/>
  <c r="G8" i="16" s="1"/>
  <c r="D76" i="11"/>
  <c r="U127" i="11"/>
  <c r="AA114" i="11"/>
  <c r="AJ113" i="11"/>
  <c r="M112" i="11"/>
  <c r="J109" i="11"/>
  <c r="O108" i="11"/>
  <c r="AG107" i="11"/>
  <c r="X107" i="11"/>
  <c r="AD74" i="11"/>
  <c r="U74" i="11"/>
  <c r="L75" i="11"/>
  <c r="AD78" i="11"/>
  <c r="U77" i="11"/>
  <c r="L79" i="11"/>
  <c r="M66" i="19"/>
  <c r="C42" i="23" s="1"/>
  <c r="L66" i="19"/>
  <c r="T66" i="19"/>
  <c r="E66" i="19"/>
  <c r="F66" i="19"/>
  <c r="O66" i="19" s="1"/>
  <c r="O43" i="19"/>
  <c r="L43" i="19"/>
  <c r="E43" i="19"/>
  <c r="M43" i="19"/>
  <c r="C36" i="23" s="1"/>
  <c r="D43" i="19"/>
  <c r="I91" i="11"/>
  <c r="X110" i="11" l="1"/>
  <c r="AG111" i="11"/>
  <c r="O112" i="11"/>
  <c r="F111" i="11"/>
  <c r="I66" i="19"/>
  <c r="W66" i="19"/>
  <c r="V66" i="19"/>
  <c r="D66" i="19"/>
  <c r="B106" i="11"/>
  <c r="Y66" i="19"/>
  <c r="X66" i="19"/>
  <c r="N43" i="19"/>
  <c r="Y43" i="19"/>
  <c r="X43" i="19"/>
  <c r="I93" i="11"/>
  <c r="E7" i="24" s="1"/>
  <c r="N66" i="19"/>
  <c r="J76" i="11"/>
  <c r="AE78" i="11"/>
  <c r="F8" i="16"/>
  <c r="V77" i="11"/>
  <c r="F27" i="19"/>
  <c r="J9" i="19"/>
  <c r="C81" i="11"/>
  <c r="D72" i="11"/>
  <c r="E11" i="21" l="1"/>
  <c r="K2" i="21"/>
  <c r="L2" i="21" s="1"/>
  <c r="J2" i="21"/>
  <c r="H2" i="21"/>
  <c r="H3" i="21" s="1"/>
  <c r="H4" i="21" s="1"/>
  <c r="H5" i="21" s="1"/>
  <c r="H6" i="21" s="1"/>
  <c r="H7" i="21" s="1"/>
  <c r="H8" i="21" s="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H20" i="21" s="1"/>
  <c r="H21" i="21" s="1"/>
  <c r="H22" i="21" s="1"/>
  <c r="H23" i="21" s="1"/>
  <c r="H24" i="21" s="1"/>
  <c r="H25" i="21" s="1"/>
  <c r="AU46" i="11"/>
  <c r="AU41" i="11"/>
  <c r="AV50" i="11"/>
  <c r="F29" i="19"/>
  <c r="F10" i="19"/>
  <c r="F47" i="19"/>
  <c r="F44" i="19"/>
  <c r="H26" i="21" l="1"/>
  <c r="J25" i="21"/>
  <c r="AV46" i="11"/>
  <c r="J9" i="21"/>
  <c r="J8" i="21"/>
  <c r="J18" i="21"/>
  <c r="J15" i="21"/>
  <c r="J7" i="21"/>
  <c r="J16" i="21"/>
  <c r="J3" i="21"/>
  <c r="J14" i="21"/>
  <c r="J6" i="21"/>
  <c r="J24" i="21"/>
  <c r="J22" i="21"/>
  <c r="J21" i="21"/>
  <c r="J13" i="21"/>
  <c r="J5" i="21"/>
  <c r="J10" i="21"/>
  <c r="J17" i="21"/>
  <c r="J23" i="21"/>
  <c r="J20" i="21"/>
  <c r="J12" i="21"/>
  <c r="J4" i="21"/>
  <c r="J19" i="21"/>
  <c r="J11" i="21"/>
  <c r="J46" i="19"/>
  <c r="AG80" i="11"/>
  <c r="J16" i="19"/>
  <c r="H27" i="21" l="1"/>
  <c r="J26" i="21"/>
  <c r="H28" i="21" l="1"/>
  <c r="J27" i="21"/>
  <c r="L40" i="19"/>
  <c r="J40" i="19"/>
  <c r="F71" i="19"/>
  <c r="H29" i="21" l="1"/>
  <c r="J28" i="21"/>
  <c r="F73" i="19"/>
  <c r="F64" i="19"/>
  <c r="AM49" i="11"/>
  <c r="AM47" i="11"/>
  <c r="AN44" i="11"/>
  <c r="F62" i="19"/>
  <c r="D62" i="19"/>
  <c r="E62" i="19"/>
  <c r="G40" i="19"/>
  <c r="F11" i="20"/>
  <c r="J11" i="20"/>
  <c r="J5" i="20"/>
  <c r="I8" i="20"/>
  <c r="I9" i="20"/>
  <c r="I10" i="20"/>
  <c r="I7" i="20"/>
  <c r="I6" i="20"/>
  <c r="F5" i="20"/>
  <c r="C8" i="20"/>
  <c r="H103" i="19"/>
  <c r="S87" i="11"/>
  <c r="AK85" i="11"/>
  <c r="AK80" i="11"/>
  <c r="AJ75" i="11"/>
  <c r="AJ74" i="11"/>
  <c r="AJ73" i="11"/>
  <c r="D81" i="11"/>
  <c r="AH82" i="11"/>
  <c r="AH77" i="11"/>
  <c r="AG70" i="11"/>
  <c r="AE83" i="11"/>
  <c r="AD70" i="11"/>
  <c r="AB89" i="11"/>
  <c r="AA83" i="11"/>
  <c r="AA76" i="11"/>
  <c r="AA75" i="11"/>
  <c r="AA74" i="11"/>
  <c r="AA73" i="11"/>
  <c r="X81" i="11"/>
  <c r="S81" i="11"/>
  <c r="P81" i="11"/>
  <c r="P75" i="11"/>
  <c r="G82" i="11"/>
  <c r="G76" i="11"/>
  <c r="W62" i="19" l="1"/>
  <c r="V62" i="19"/>
  <c r="O62" i="19"/>
  <c r="H30" i="21"/>
  <c r="J29" i="21"/>
  <c r="M79" i="11"/>
  <c r="L89" i="11"/>
  <c r="F7" i="24" s="1"/>
  <c r="J85" i="11"/>
  <c r="F6" i="20"/>
  <c r="J13" i="20"/>
  <c r="F10" i="20"/>
  <c r="F9" i="20"/>
  <c r="F8" i="20"/>
  <c r="F7" i="20"/>
  <c r="F12" i="20"/>
  <c r="F13" i="20"/>
  <c r="J10" i="20"/>
  <c r="J9" i="20"/>
  <c r="J8" i="20"/>
  <c r="J7" i="20"/>
  <c r="J6" i="20"/>
  <c r="J12" i="20"/>
  <c r="AB83" i="11"/>
  <c r="Y82" i="11"/>
  <c r="V82" i="11"/>
  <c r="M84" i="11"/>
  <c r="H31" i="21" l="1"/>
  <c r="J30" i="21"/>
  <c r="F87" i="11"/>
  <c r="D7" i="24" s="1"/>
  <c r="G73" i="11"/>
  <c r="E7" i="16"/>
  <c r="L6" i="19"/>
  <c r="AI43" i="11"/>
  <c r="H32" i="21" l="1"/>
  <c r="J31" i="21"/>
  <c r="O86" i="11"/>
  <c r="G7" i="24" s="1"/>
  <c r="P72" i="11"/>
  <c r="F78" i="19"/>
  <c r="H33" i="21" l="1"/>
  <c r="J32" i="21"/>
  <c r="U71" i="11"/>
  <c r="X70" i="11" s="1"/>
  <c r="AA68" i="11" s="1"/>
  <c r="J23" i="19"/>
  <c r="F80" i="19"/>
  <c r="H34" i="21" l="1"/>
  <c r="J33" i="21"/>
  <c r="AD69" i="11"/>
  <c r="Y73" i="11"/>
  <c r="X87" i="11"/>
  <c r="AI42" i="11"/>
  <c r="AI41" i="11"/>
  <c r="AQ38" i="11"/>
  <c r="AE40" i="11"/>
  <c r="AI40" i="11"/>
  <c r="AM38" i="11"/>
  <c r="AI39" i="11"/>
  <c r="AI38" i="11"/>
  <c r="AI50" i="11"/>
  <c r="AE49" i="11"/>
  <c r="AE37" i="11"/>
  <c r="H35" i="21" l="1"/>
  <c r="J34" i="21"/>
  <c r="AG69" i="11"/>
  <c r="AE71" i="11"/>
  <c r="AD88" i="11"/>
  <c r="U68" i="11"/>
  <c r="U87" i="11" s="1"/>
  <c r="AM54" i="11"/>
  <c r="L6" i="24" s="1"/>
  <c r="AF50" i="11"/>
  <c r="D8" i="19"/>
  <c r="D9" i="19"/>
  <c r="I8" i="19"/>
  <c r="I9" i="19"/>
  <c r="O8" i="19"/>
  <c r="O9" i="19"/>
  <c r="M7" i="19"/>
  <c r="M8" i="19"/>
  <c r="M9" i="19"/>
  <c r="C18" i="23" s="1"/>
  <c r="L7" i="19"/>
  <c r="L8" i="19"/>
  <c r="E8" i="19" s="1"/>
  <c r="L9" i="19"/>
  <c r="E9" i="19" s="1"/>
  <c r="H36" i="21" l="1"/>
  <c r="J35" i="21"/>
  <c r="F101" i="11"/>
  <c r="AM101" i="11"/>
  <c r="AD109" i="11"/>
  <c r="O101" i="11"/>
  <c r="Y9" i="19"/>
  <c r="X9" i="19"/>
  <c r="AJ68" i="11"/>
  <c r="AH73" i="11"/>
  <c r="AG87" i="11"/>
  <c r="N7" i="19"/>
  <c r="N8" i="19"/>
  <c r="M72" i="11"/>
  <c r="V71" i="11"/>
  <c r="N9" i="19"/>
  <c r="F19" i="19"/>
  <c r="W19" i="19" l="1"/>
  <c r="V19" i="19"/>
  <c r="H37" i="21"/>
  <c r="J36" i="21"/>
  <c r="F28" i="19"/>
  <c r="M6" i="19"/>
  <c r="C17" i="23" s="1"/>
  <c r="AA47" i="11"/>
  <c r="D20" i="13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31" i="13" s="1"/>
  <c r="D32" i="13" s="1"/>
  <c r="D33" i="13" s="1"/>
  <c r="D34" i="13" s="1"/>
  <c r="D35" i="13" s="1"/>
  <c r="D36" i="13" s="1"/>
  <c r="D37" i="13" s="1"/>
  <c r="D38" i="13" s="1"/>
  <c r="D39" i="13" s="1"/>
  <c r="D40" i="13" s="1"/>
  <c r="D41" i="13" s="1"/>
  <c r="D42" i="13" s="1"/>
  <c r="D43" i="13" s="1"/>
  <c r="D44" i="13" s="1"/>
  <c r="D45" i="13" s="1"/>
  <c r="D46" i="13" s="1"/>
  <c r="D47" i="13" s="1"/>
  <c r="D48" i="13" s="1"/>
  <c r="D49" i="13" s="1"/>
  <c r="D50" i="13" s="1"/>
  <c r="D51" i="13" s="1"/>
  <c r="D52" i="13" s="1"/>
  <c r="D53" i="13" s="1"/>
  <c r="D54" i="13" s="1"/>
  <c r="D55" i="13" s="1"/>
  <c r="D56" i="13" s="1"/>
  <c r="D57" i="13" s="1"/>
  <c r="D58" i="13" s="1"/>
  <c r="D59" i="13" s="1"/>
  <c r="D60" i="13" s="1"/>
  <c r="D61" i="13" s="1"/>
  <c r="D62" i="13" s="1"/>
  <c r="D63" i="13" s="1"/>
  <c r="D64" i="13" s="1"/>
  <c r="D65" i="13" s="1"/>
  <c r="D66" i="13" s="1"/>
  <c r="D67" i="13" s="1"/>
  <c r="D68" i="13" s="1"/>
  <c r="D69" i="13" s="1"/>
  <c r="D70" i="13" s="1"/>
  <c r="D71" i="13" s="1"/>
  <c r="D72" i="13" s="1"/>
  <c r="D73" i="13" s="1"/>
  <c r="D74" i="13" s="1"/>
  <c r="D75" i="13" s="1"/>
  <c r="D76" i="13" s="1"/>
  <c r="D77" i="13" s="1"/>
  <c r="D78" i="13" s="1"/>
  <c r="D79" i="13" s="1"/>
  <c r="D80" i="13" s="1"/>
  <c r="D81" i="13" s="1"/>
  <c r="D82" i="13" s="1"/>
  <c r="D83" i="13" s="1"/>
  <c r="D84" i="13" s="1"/>
  <c r="D85" i="13" s="1"/>
  <c r="D86" i="13" s="1"/>
  <c r="D87" i="13" s="1"/>
  <c r="D88" i="13" s="1"/>
  <c r="D89" i="13" s="1"/>
  <c r="D90" i="13" s="1"/>
  <c r="D91" i="13" s="1"/>
  <c r="D92" i="13" s="1"/>
  <c r="D93" i="13" s="1"/>
  <c r="D94" i="13" s="1"/>
  <c r="D95" i="13" s="1"/>
  <c r="D96" i="13" s="1"/>
  <c r="D97" i="13" s="1"/>
  <c r="D98" i="13" s="1"/>
  <c r="D99" i="13" s="1"/>
  <c r="D100" i="13" s="1"/>
  <c r="D101" i="13" s="1"/>
  <c r="D102" i="13" s="1"/>
  <c r="D103" i="13" s="1"/>
  <c r="D104" i="13" s="1"/>
  <c r="D105" i="13" s="1"/>
  <c r="D106" i="13" s="1"/>
  <c r="D107" i="13" s="1"/>
  <c r="D108" i="13" s="1"/>
  <c r="D109" i="13" s="1"/>
  <c r="D110" i="13" s="1"/>
  <c r="D111" i="13" s="1"/>
  <c r="D112" i="13" s="1"/>
  <c r="D113" i="13" s="1"/>
  <c r="D114" i="13" s="1"/>
  <c r="D115" i="13" s="1"/>
  <c r="D116" i="13" s="1"/>
  <c r="D117" i="13" s="1"/>
  <c r="D118" i="13" s="1"/>
  <c r="D119" i="13" s="1"/>
  <c r="D120" i="13" s="1"/>
  <c r="D121" i="13" s="1"/>
  <c r="D122" i="13" s="1"/>
  <c r="D123" i="13" s="1"/>
  <c r="D124" i="13" s="1"/>
  <c r="D125" i="13" s="1"/>
  <c r="D126" i="13" s="1"/>
  <c r="D127" i="13" s="1"/>
  <c r="D128" i="13" s="1"/>
  <c r="D129" i="13" s="1"/>
  <c r="D130" i="13" s="1"/>
  <c r="D131" i="13" s="1"/>
  <c r="D132" i="13" s="1"/>
  <c r="D133" i="13" s="1"/>
  <c r="D134" i="13" s="1"/>
  <c r="D135" i="13" s="1"/>
  <c r="D136" i="13" s="1"/>
  <c r="D137" i="13" s="1"/>
  <c r="D138" i="13" s="1"/>
  <c r="D139" i="13" s="1"/>
  <c r="D140" i="13" s="1"/>
  <c r="D141" i="13" s="1"/>
  <c r="D142" i="13" s="1"/>
  <c r="D143" i="13" s="1"/>
  <c r="D144" i="13" s="1"/>
  <c r="D145" i="13" s="1"/>
  <c r="D146" i="13" s="1"/>
  <c r="D147" i="13" s="1"/>
  <c r="D148" i="13" s="1"/>
  <c r="D149" i="13" s="1"/>
  <c r="D150" i="13" s="1"/>
  <c r="D151" i="13" s="1"/>
  <c r="D152" i="13" s="1"/>
  <c r="D153" i="13" s="1"/>
  <c r="D154" i="13" s="1"/>
  <c r="D155" i="13" s="1"/>
  <c r="D156" i="13" s="1"/>
  <c r="D157" i="13" s="1"/>
  <c r="D158" i="13" s="1"/>
  <c r="D159" i="13" s="1"/>
  <c r="D160" i="13" s="1"/>
  <c r="D161" i="13" s="1"/>
  <c r="D162" i="13" s="1"/>
  <c r="D163" i="13" s="1"/>
  <c r="D164" i="13" s="1"/>
  <c r="D165" i="13" s="1"/>
  <c r="D166" i="13" s="1"/>
  <c r="D167" i="13" s="1"/>
  <c r="D168" i="13" s="1"/>
  <c r="D169" i="13" s="1"/>
  <c r="D170" i="13" s="1"/>
  <c r="D171" i="13" s="1"/>
  <c r="D172" i="13" s="1"/>
  <c r="D173" i="13" s="1"/>
  <c r="D174" i="13" s="1"/>
  <c r="D175" i="13" s="1"/>
  <c r="D176" i="13" s="1"/>
  <c r="D177" i="13" s="1"/>
  <c r="D178" i="13" s="1"/>
  <c r="D179" i="13" s="1"/>
  <c r="D180" i="13" s="1"/>
  <c r="D181" i="13" s="1"/>
  <c r="D182" i="13" s="1"/>
  <c r="D183" i="13" s="1"/>
  <c r="D184" i="13" s="1"/>
  <c r="D185" i="13" s="1"/>
  <c r="D186" i="13" s="1"/>
  <c r="D187" i="13" s="1"/>
  <c r="D188" i="13" s="1"/>
  <c r="D189" i="13" s="1"/>
  <c r="D190" i="13" s="1"/>
  <c r="D191" i="13" s="1"/>
  <c r="D192" i="13" s="1"/>
  <c r="D193" i="13" s="1"/>
  <c r="D194" i="13" s="1"/>
  <c r="D195" i="13" s="1"/>
  <c r="D196" i="13" s="1"/>
  <c r="D197" i="13" s="1"/>
  <c r="D198" i="13" s="1"/>
  <c r="D199" i="13" s="1"/>
  <c r="D200" i="13" s="1"/>
  <c r="D201" i="13" s="1"/>
  <c r="D202" i="13" s="1"/>
  <c r="D203" i="13" s="1"/>
  <c r="D204" i="13" s="1"/>
  <c r="D205" i="13" s="1"/>
  <c r="D206" i="13" s="1"/>
  <c r="D207" i="13" s="1"/>
  <c r="D208" i="13" s="1"/>
  <c r="D209" i="13" s="1"/>
  <c r="D210" i="13" s="1"/>
  <c r="D211" i="13" s="1"/>
  <c r="D212" i="13" s="1"/>
  <c r="D213" i="13" s="1"/>
  <c r="D214" i="13" s="1"/>
  <c r="D215" i="13" s="1"/>
  <c r="D216" i="13" s="1"/>
  <c r="D217" i="13" s="1"/>
  <c r="D218" i="13" s="1"/>
  <c r="D219" i="13" s="1"/>
  <c r="D220" i="13" s="1"/>
  <c r="D221" i="13" s="1"/>
  <c r="D222" i="13" s="1"/>
  <c r="D223" i="13" s="1"/>
  <c r="D224" i="13" s="1"/>
  <c r="D225" i="13" s="1"/>
  <c r="D226" i="13" s="1"/>
  <c r="D227" i="13" s="1"/>
  <c r="D228" i="13" s="1"/>
  <c r="D229" i="13" s="1"/>
  <c r="D230" i="13" s="1"/>
  <c r="D231" i="13" s="1"/>
  <c r="D232" i="13" s="1"/>
  <c r="D233" i="13" s="1"/>
  <c r="D234" i="13" s="1"/>
  <c r="D235" i="13" s="1"/>
  <c r="D236" i="13" s="1"/>
  <c r="D237" i="13" s="1"/>
  <c r="D238" i="13" s="1"/>
  <c r="D239" i="13" s="1"/>
  <c r="D240" i="13" s="1"/>
  <c r="D241" i="13" s="1"/>
  <c r="D242" i="13" s="1"/>
  <c r="D243" i="13" s="1"/>
  <c r="D244" i="13" s="1"/>
  <c r="D245" i="13" s="1"/>
  <c r="D246" i="13" s="1"/>
  <c r="D247" i="13" s="1"/>
  <c r="D248" i="13" s="1"/>
  <c r="D249" i="13" s="1"/>
  <c r="D250" i="13" s="1"/>
  <c r="D251" i="13" s="1"/>
  <c r="D252" i="13" s="1"/>
  <c r="D253" i="13" s="1"/>
  <c r="D254" i="13" s="1"/>
  <c r="D255" i="13" s="1"/>
  <c r="D256" i="13" s="1"/>
  <c r="D257" i="13" s="1"/>
  <c r="D258" i="13" s="1"/>
  <c r="D259" i="13" s="1"/>
  <c r="D260" i="13" s="1"/>
  <c r="D261" i="13" s="1"/>
  <c r="D262" i="13" s="1"/>
  <c r="D263" i="13" s="1"/>
  <c r="D264" i="13" s="1"/>
  <c r="D265" i="13" s="1"/>
  <c r="D266" i="13" s="1"/>
  <c r="D267" i="13" s="1"/>
  <c r="D268" i="13" s="1"/>
  <c r="D269" i="13" s="1"/>
  <c r="D270" i="13" s="1"/>
  <c r="D271" i="13" s="1"/>
  <c r="D272" i="13" s="1"/>
  <c r="D273" i="13" s="1"/>
  <c r="D274" i="13" s="1"/>
  <c r="D275" i="13" s="1"/>
  <c r="D276" i="13" s="1"/>
  <c r="D277" i="13" s="1"/>
  <c r="D278" i="13" s="1"/>
  <c r="D279" i="13" s="1"/>
  <c r="D280" i="13" s="1"/>
  <c r="D281" i="13" s="1"/>
  <c r="D282" i="13" s="1"/>
  <c r="D283" i="13" s="1"/>
  <c r="D284" i="13" s="1"/>
  <c r="D285" i="13" s="1"/>
  <c r="D286" i="13" s="1"/>
  <c r="D287" i="13" s="1"/>
  <c r="D288" i="13" s="1"/>
  <c r="D289" i="13" s="1"/>
  <c r="D290" i="13" s="1"/>
  <c r="D291" i="13" s="1"/>
  <c r="D292" i="13" s="1"/>
  <c r="D293" i="13" s="1"/>
  <c r="D294" i="13" s="1"/>
  <c r="D295" i="13" s="1"/>
  <c r="D296" i="13" s="1"/>
  <c r="D297" i="13" s="1"/>
  <c r="D298" i="13" s="1"/>
  <c r="D299" i="13" s="1"/>
  <c r="D300" i="13" s="1"/>
  <c r="D301" i="13" s="1"/>
  <c r="D302" i="13" s="1"/>
  <c r="D303" i="13" s="1"/>
  <c r="D304" i="13" s="1"/>
  <c r="D305" i="13" s="1"/>
  <c r="D306" i="13" s="1"/>
  <c r="D307" i="13" s="1"/>
  <c r="D308" i="13" s="1"/>
  <c r="D309" i="13" s="1"/>
  <c r="D310" i="13" s="1"/>
  <c r="D311" i="13" s="1"/>
  <c r="D312" i="13" s="1"/>
  <c r="D313" i="13" s="1"/>
  <c r="D314" i="13" s="1"/>
  <c r="D315" i="13" s="1"/>
  <c r="D316" i="13" s="1"/>
  <c r="D317" i="13" s="1"/>
  <c r="D318" i="13" s="1"/>
  <c r="D319" i="13" s="1"/>
  <c r="D320" i="13" s="1"/>
  <c r="D321" i="13" s="1"/>
  <c r="D322" i="13" s="1"/>
  <c r="D323" i="13" s="1"/>
  <c r="D324" i="13" s="1"/>
  <c r="D325" i="13" s="1"/>
  <c r="D326" i="13" s="1"/>
  <c r="D327" i="13" s="1"/>
  <c r="D328" i="13" s="1"/>
  <c r="D329" i="13" s="1"/>
  <c r="D330" i="13" s="1"/>
  <c r="D331" i="13" s="1"/>
  <c r="D332" i="13" s="1"/>
  <c r="D333" i="13" s="1"/>
  <c r="D334" i="13" s="1"/>
  <c r="D335" i="13" s="1"/>
  <c r="D336" i="13" s="1"/>
  <c r="D337" i="13" s="1"/>
  <c r="D338" i="13" s="1"/>
  <c r="D339" i="13" s="1"/>
  <c r="D340" i="13" s="1"/>
  <c r="D341" i="13" s="1"/>
  <c r="D342" i="13" s="1"/>
  <c r="D343" i="13" s="1"/>
  <c r="D344" i="13" s="1"/>
  <c r="D345" i="13" s="1"/>
  <c r="D346" i="13" s="1"/>
  <c r="D347" i="13" s="1"/>
  <c r="D348" i="13" s="1"/>
  <c r="D349" i="13" s="1"/>
  <c r="D350" i="13" s="1"/>
  <c r="D351" i="13" s="1"/>
  <c r="D352" i="13" s="1"/>
  <c r="D353" i="13" s="1"/>
  <c r="D354" i="13" s="1"/>
  <c r="D355" i="13" s="1"/>
  <c r="D356" i="13" s="1"/>
  <c r="D357" i="13" s="1"/>
  <c r="D358" i="13" s="1"/>
  <c r="D359" i="13" s="1"/>
  <c r="D360" i="13" s="1"/>
  <c r="D361" i="13" s="1"/>
  <c r="D362" i="13" s="1"/>
  <c r="D363" i="13" s="1"/>
  <c r="D364" i="13" s="1"/>
  <c r="D365" i="13" s="1"/>
  <c r="D366" i="13" s="1"/>
  <c r="D367" i="13" s="1"/>
  <c r="D368" i="13" s="1"/>
  <c r="D369" i="13" s="1"/>
  <c r="D370" i="13" s="1"/>
  <c r="D371" i="13" s="1"/>
  <c r="D372" i="13" s="1"/>
  <c r="D373" i="13" s="1"/>
  <c r="D374" i="13" s="1"/>
  <c r="D375" i="13" s="1"/>
  <c r="D376" i="13" s="1"/>
  <c r="D377" i="13" s="1"/>
  <c r="D378" i="13" s="1"/>
  <c r="D379" i="13" s="1"/>
  <c r="D380" i="13" s="1"/>
  <c r="D381" i="13" s="1"/>
  <c r="D382" i="13" s="1"/>
  <c r="D383" i="13" s="1"/>
  <c r="D384" i="13" s="1"/>
  <c r="D385" i="13" s="1"/>
  <c r="D386" i="13" s="1"/>
  <c r="D387" i="13" s="1"/>
  <c r="D388" i="13" s="1"/>
  <c r="D389" i="13" s="1"/>
  <c r="D390" i="13" s="1"/>
  <c r="D391" i="13" s="1"/>
  <c r="D392" i="13" s="1"/>
  <c r="D393" i="13" s="1"/>
  <c r="D394" i="13" s="1"/>
  <c r="D395" i="13" s="1"/>
  <c r="D396" i="13" s="1"/>
  <c r="D397" i="13" s="1"/>
  <c r="D398" i="13" s="1"/>
  <c r="D399" i="13" s="1"/>
  <c r="D400" i="13" s="1"/>
  <c r="D401" i="13" s="1"/>
  <c r="D402" i="13" s="1"/>
  <c r="D403" i="13" s="1"/>
  <c r="D404" i="13" s="1"/>
  <c r="D405" i="13" s="1"/>
  <c r="D406" i="13" s="1"/>
  <c r="D407" i="13" s="1"/>
  <c r="D408" i="13" s="1"/>
  <c r="D409" i="13" s="1"/>
  <c r="D410" i="13" s="1"/>
  <c r="D411" i="13" s="1"/>
  <c r="D412" i="13" s="1"/>
  <c r="D413" i="13" s="1"/>
  <c r="D414" i="13" s="1"/>
  <c r="D415" i="13" s="1"/>
  <c r="D416" i="13" s="1"/>
  <c r="D417" i="13" s="1"/>
  <c r="D418" i="13" s="1"/>
  <c r="D419" i="13" s="1"/>
  <c r="D420" i="13" s="1"/>
  <c r="D421" i="13" s="1"/>
  <c r="D422" i="13" s="1"/>
  <c r="D423" i="13" s="1"/>
  <c r="D424" i="13" s="1"/>
  <c r="D425" i="13" s="1"/>
  <c r="D426" i="13" s="1"/>
  <c r="D427" i="13" s="1"/>
  <c r="D10" i="14"/>
  <c r="D11" i="14" s="1"/>
  <c r="D12" i="14" s="1"/>
  <c r="T88" i="19"/>
  <c r="J20" i="19"/>
  <c r="L20" i="19"/>
  <c r="E20" i="19" s="1"/>
  <c r="D20" i="19"/>
  <c r="M20" i="19"/>
  <c r="C25" i="23" s="1"/>
  <c r="T20" i="19"/>
  <c r="I20" i="19"/>
  <c r="AA20" i="19"/>
  <c r="O20" i="19"/>
  <c r="AV56" i="11"/>
  <c r="AR50" i="11"/>
  <c r="AR45" i="11"/>
  <c r="AR41" i="11"/>
  <c r="AN49" i="11"/>
  <c r="AN39" i="11"/>
  <c r="AJ56" i="11"/>
  <c r="AJ50" i="11"/>
  <c r="AI45" i="11"/>
  <c r="AI61" i="11" s="1"/>
  <c r="K6" i="24" s="1"/>
  <c r="AE41" i="11"/>
  <c r="AE55" i="11" s="1"/>
  <c r="J6" i="24" s="1"/>
  <c r="I19" i="19"/>
  <c r="O17" i="19"/>
  <c r="O18" i="19"/>
  <c r="M19" i="19"/>
  <c r="C24" i="23" s="1"/>
  <c r="T19" i="19"/>
  <c r="L19" i="19"/>
  <c r="I17" i="19"/>
  <c r="I18" i="19"/>
  <c r="AA19" i="19"/>
  <c r="D17" i="19"/>
  <c r="D18" i="19"/>
  <c r="G6" i="16"/>
  <c r="AA41" i="11"/>
  <c r="AA42" i="11"/>
  <c r="C86" i="11" s="1"/>
  <c r="C7" i="24" s="1"/>
  <c r="O7" i="24" s="1"/>
  <c r="AB38" i="11"/>
  <c r="X54" i="11"/>
  <c r="X48" i="11"/>
  <c r="X44" i="11"/>
  <c r="F89" i="19"/>
  <c r="O89" i="19" s="1"/>
  <c r="M89" i="19"/>
  <c r="C56" i="23" s="1"/>
  <c r="F30" i="19"/>
  <c r="J37" i="21" l="1"/>
  <c r="H38" i="21"/>
  <c r="AM105" i="11"/>
  <c r="AD104" i="11"/>
  <c r="U104" i="11"/>
  <c r="L103" i="11"/>
  <c r="N6" i="19"/>
  <c r="Y20" i="19"/>
  <c r="X20" i="19"/>
  <c r="Y19" i="19"/>
  <c r="X19" i="19"/>
  <c r="E89" i="19"/>
  <c r="D7" i="16"/>
  <c r="AJ45" i="11"/>
  <c r="AQ55" i="11"/>
  <c r="M6" i="24" s="1"/>
  <c r="AA52" i="11"/>
  <c r="I6" i="24" s="1"/>
  <c r="AF41" i="11"/>
  <c r="AB42" i="11"/>
  <c r="AU61" i="11"/>
  <c r="N6" i="24" s="1"/>
  <c r="N19" i="19"/>
  <c r="G108" i="19"/>
  <c r="N20" i="19"/>
  <c r="O19" i="19"/>
  <c r="D19" i="19"/>
  <c r="E19" i="19"/>
  <c r="AB47" i="11"/>
  <c r="D89" i="19"/>
  <c r="I89" i="19"/>
  <c r="F5" i="16"/>
  <c r="W60" i="11"/>
  <c r="F6" i="16" s="1"/>
  <c r="J30" i="19"/>
  <c r="J38" i="21" l="1"/>
  <c r="H39" i="21"/>
  <c r="F7" i="16"/>
  <c r="W62" i="11"/>
  <c r="H6" i="24" s="1"/>
  <c r="J39" i="21" l="1"/>
  <c r="H40" i="21"/>
  <c r="AA64" i="19"/>
  <c r="AA45" i="19"/>
  <c r="AA46" i="19"/>
  <c r="AA6" i="19"/>
  <c r="AA7" i="19"/>
  <c r="AA8" i="19"/>
  <c r="AA26" i="19"/>
  <c r="AA25" i="19"/>
  <c r="AA23" i="19"/>
  <c r="AA16" i="19"/>
  <c r="AA17" i="19"/>
  <c r="AA18" i="19"/>
  <c r="F79" i="19"/>
  <c r="L53" i="11"/>
  <c r="K46" i="11"/>
  <c r="L46" i="11" s="1"/>
  <c r="T49" i="11"/>
  <c r="T39" i="11"/>
  <c r="S54" i="11"/>
  <c r="G6" i="24" s="1"/>
  <c r="O49" i="11"/>
  <c r="P39" i="11"/>
  <c r="O44" i="11"/>
  <c r="J40" i="21" l="1"/>
  <c r="H41" i="21"/>
  <c r="J41" i="21" s="1"/>
  <c r="O54" i="11"/>
  <c r="F6" i="24" s="1"/>
  <c r="T43" i="11"/>
  <c r="P49" i="11"/>
  <c r="P44" i="11"/>
  <c r="F13" i="19" l="1"/>
  <c r="F14" i="19"/>
  <c r="M46" i="19" l="1"/>
  <c r="C38" i="23" s="1"/>
  <c r="M39" i="19"/>
  <c r="M77" i="19"/>
  <c r="L44" i="19"/>
  <c r="L47" i="19"/>
  <c r="M71" i="19"/>
  <c r="G71" i="19"/>
  <c r="J71" i="19" s="1"/>
  <c r="I40" i="19"/>
  <c r="K41" i="11"/>
  <c r="L43" i="11" s="1"/>
  <c r="H49" i="11"/>
  <c r="H43" i="11"/>
  <c r="G40" i="11"/>
  <c r="H40" i="11" s="1"/>
  <c r="C48" i="11"/>
  <c r="D48" i="11" s="1"/>
  <c r="D43" i="11"/>
  <c r="D39" i="11"/>
  <c r="G74" i="19"/>
  <c r="J74" i="19" s="1"/>
  <c r="G76" i="19"/>
  <c r="J76" i="19" s="1"/>
  <c r="G72" i="19"/>
  <c r="J72" i="19" s="1"/>
  <c r="L72" i="19" s="1"/>
  <c r="C8" i="23" l="1"/>
  <c r="C43" i="23"/>
  <c r="D6" i="16"/>
  <c r="E6" i="16"/>
  <c r="C6" i="16"/>
  <c r="K58" i="11"/>
  <c r="E6" i="24" s="1"/>
  <c r="N46" i="19"/>
  <c r="G54" i="11"/>
  <c r="D6" i="24" s="1"/>
  <c r="C53" i="11"/>
  <c r="C6" i="24" s="1"/>
  <c r="O6" i="24" l="1"/>
  <c r="H6" i="16"/>
  <c r="D40" i="19"/>
  <c r="I42" i="19"/>
  <c r="I6" i="16" l="1"/>
  <c r="J77" i="19"/>
  <c r="O74" i="19"/>
  <c r="F115" i="11" l="1"/>
  <c r="AG115" i="11"/>
  <c r="O116" i="11"/>
  <c r="X114" i="11"/>
  <c r="F77" i="19"/>
  <c r="M40" i="19" l="1"/>
  <c r="L75" i="19"/>
  <c r="D64" i="19"/>
  <c r="L64" i="19"/>
  <c r="M64" i="19"/>
  <c r="T64" i="19"/>
  <c r="F63" i="19"/>
  <c r="G81" i="19"/>
  <c r="J81" i="19" s="1"/>
  <c r="L81" i="19" s="1"/>
  <c r="E81" i="19" s="1"/>
  <c r="G80" i="19"/>
  <c r="J80" i="19" s="1"/>
  <c r="G79" i="19"/>
  <c r="J79" i="19" s="1"/>
  <c r="G73" i="19"/>
  <c r="J73" i="19" s="1"/>
  <c r="E72" i="19"/>
  <c r="L71" i="19"/>
  <c r="C35" i="23" l="1"/>
  <c r="N64" i="19"/>
  <c r="I64" i="19"/>
  <c r="O64" i="19"/>
  <c r="E64" i="19"/>
  <c r="L80" i="19"/>
  <c r="L79" i="19"/>
  <c r="E79" i="19" s="1"/>
  <c r="E78" i="19"/>
  <c r="E77" i="19"/>
  <c r="L76" i="19"/>
  <c r="E76" i="19" s="1"/>
  <c r="L74" i="19"/>
  <c r="E74" i="19" s="1"/>
  <c r="L73" i="19"/>
  <c r="E73" i="19" s="1"/>
  <c r="E75" i="19" l="1"/>
  <c r="L82" i="19"/>
  <c r="I78" i="19" l="1"/>
  <c r="I16" i="19" l="1"/>
  <c r="O16" i="19"/>
  <c r="D16" i="19"/>
  <c r="V29" i="11"/>
  <c r="N5" i="24" s="1"/>
  <c r="W24" i="11"/>
  <c r="W14" i="11"/>
  <c r="AM104" i="11" l="1"/>
  <c r="O102" i="11"/>
  <c r="AJ101" i="11"/>
  <c r="L102" i="11"/>
  <c r="AG101" i="11"/>
  <c r="I102" i="11"/>
  <c r="AD102" i="11"/>
  <c r="F103" i="11"/>
  <c r="AA102" i="11"/>
  <c r="X102" i="11"/>
  <c r="U102" i="11"/>
  <c r="R101" i="11"/>
  <c r="W27" i="11"/>
  <c r="W17" i="11"/>
  <c r="S15" i="11"/>
  <c r="T18" i="11" s="1"/>
  <c r="T8" i="11"/>
  <c r="T21" i="11"/>
  <c r="T12" i="11"/>
  <c r="J14" i="19"/>
  <c r="S23" i="11" l="1"/>
  <c r="M5" i="24" s="1"/>
  <c r="D23" i="19"/>
  <c r="O23" i="19"/>
  <c r="I23" i="19"/>
  <c r="L23" i="19"/>
  <c r="E23" i="19" s="1"/>
  <c r="M23" i="19"/>
  <c r="T23" i="19"/>
  <c r="Y23" i="19" l="1"/>
  <c r="C27" i="23"/>
  <c r="AJ105" i="11"/>
  <c r="AA104" i="11"/>
  <c r="R102" i="11"/>
  <c r="I104" i="11"/>
  <c r="N23" i="19"/>
  <c r="E71" i="19"/>
  <c r="P20" i="11" l="1"/>
  <c r="O16" i="11"/>
  <c r="O22" i="11" s="1"/>
  <c r="L5" i="24" s="1"/>
  <c r="P11" i="11"/>
  <c r="P7" i="11"/>
  <c r="G86" i="19"/>
  <c r="L86" i="19"/>
  <c r="P16" i="11" l="1"/>
  <c r="O26" i="19"/>
  <c r="M26" i="19"/>
  <c r="C30" i="23" s="1"/>
  <c r="J26" i="19"/>
  <c r="L26" i="19" s="1"/>
  <c r="E26" i="19" s="1"/>
  <c r="I26" i="19"/>
  <c r="D26" i="19"/>
  <c r="AA28" i="19"/>
  <c r="F102" i="11" l="1"/>
  <c r="O103" i="11"/>
  <c r="AG103" i="11"/>
  <c r="X101" i="11"/>
  <c r="Y26" i="19"/>
  <c r="X26" i="19"/>
  <c r="N26" i="19"/>
  <c r="M63" i="19"/>
  <c r="T63" i="19"/>
  <c r="J63" i="19"/>
  <c r="L63" i="19" s="1"/>
  <c r="D63" i="19"/>
  <c r="E63" i="19" l="1"/>
  <c r="I63" i="19"/>
  <c r="N63" i="19"/>
  <c r="O63" i="19"/>
  <c r="L30" i="11" l="1"/>
  <c r="K5" i="24" s="1"/>
  <c r="T16" i="19" l="1"/>
  <c r="T25" i="19"/>
  <c r="E87" i="19"/>
  <c r="D87" i="19"/>
  <c r="J88" i="19" l="1"/>
  <c r="J27" i="19" l="1"/>
  <c r="E80" i="19" l="1"/>
  <c r="I24" i="11" l="1"/>
  <c r="J5" i="24" s="1"/>
  <c r="J22" i="11"/>
  <c r="J19" i="11"/>
  <c r="J13" i="11"/>
  <c r="J9" i="11"/>
  <c r="J29" i="19" l="1"/>
  <c r="O87" i="19" l="1"/>
  <c r="M87" i="19"/>
  <c r="C54" i="23" s="1"/>
  <c r="L87" i="19"/>
  <c r="L90" i="19" s="1"/>
  <c r="I87" i="19"/>
  <c r="M86" i="19"/>
  <c r="C53" i="23" s="1"/>
  <c r="D86" i="19"/>
  <c r="O93" i="19"/>
  <c r="I86" i="19" l="1"/>
  <c r="O86" i="19"/>
  <c r="E86" i="19"/>
  <c r="N86" i="19"/>
  <c r="N87" i="19"/>
  <c r="I80" i="19"/>
  <c r="N85" i="19"/>
  <c r="I81" i="19"/>
  <c r="O81" i="19"/>
  <c r="M81" i="19"/>
  <c r="L118" i="11" l="1"/>
  <c r="AM118" i="11"/>
  <c r="AD121" i="11"/>
  <c r="U121" i="11"/>
  <c r="N81" i="19"/>
  <c r="C52" i="23"/>
  <c r="D81" i="19"/>
  <c r="I38" i="19"/>
  <c r="E88" i="19"/>
  <c r="G7" i="11" l="1"/>
  <c r="C5" i="16" s="1"/>
  <c r="F19" i="11"/>
  <c r="G19" i="11" s="1"/>
  <c r="G5" i="16" s="1"/>
  <c r="F10" i="11"/>
  <c r="G11" i="11" s="1"/>
  <c r="D5" i="16" s="1"/>
  <c r="F16" i="11"/>
  <c r="G16" i="11" s="1"/>
  <c r="E5" i="16" l="1"/>
  <c r="H5" i="16" s="1"/>
  <c r="F21" i="11"/>
  <c r="I5" i="24" s="1"/>
  <c r="D11" i="11"/>
  <c r="K6" i="16" l="1"/>
  <c r="I5" i="16"/>
  <c r="W13" i="19"/>
  <c r="L14" i="19"/>
  <c r="J6" i="16" l="1"/>
  <c r="K98" i="19"/>
  <c r="O72" i="19"/>
  <c r="O73" i="19"/>
  <c r="O77" i="19"/>
  <c r="O78" i="19"/>
  <c r="O79" i="19"/>
  <c r="O80" i="19"/>
  <c r="O38" i="19"/>
  <c r="O40" i="19"/>
  <c r="E11" i="23" s="1"/>
  <c r="O42" i="19"/>
  <c r="O44" i="19"/>
  <c r="O49" i="19"/>
  <c r="O53" i="19"/>
  <c r="O58" i="19"/>
  <c r="O59" i="19"/>
  <c r="O60" i="19"/>
  <c r="O61" i="19"/>
  <c r="O10" i="19"/>
  <c r="O13" i="19"/>
  <c r="O14" i="19"/>
  <c r="O27" i="19"/>
  <c r="O29" i="19"/>
  <c r="O30" i="19"/>
  <c r="O85" i="19"/>
  <c r="O92" i="19" s="1"/>
  <c r="O70" i="19"/>
  <c r="O35" i="19"/>
  <c r="D85" i="19"/>
  <c r="D92" i="19" s="1"/>
  <c r="E85" i="19"/>
  <c r="E92" i="19" s="1"/>
  <c r="F85" i="19"/>
  <c r="F92" i="19" s="1"/>
  <c r="G85" i="19"/>
  <c r="G92" i="19" s="1"/>
  <c r="H85" i="19"/>
  <c r="H92" i="19" s="1"/>
  <c r="I85" i="19"/>
  <c r="I92" i="19" s="1"/>
  <c r="J85" i="19"/>
  <c r="J92" i="19" s="1"/>
  <c r="K85" i="19"/>
  <c r="K92" i="19" s="1"/>
  <c r="L85" i="19"/>
  <c r="L92" i="19" s="1"/>
  <c r="M85" i="19"/>
  <c r="M92" i="19" s="1"/>
  <c r="N92" i="19"/>
  <c r="T85" i="19"/>
  <c r="T92" i="19" s="1"/>
  <c r="U85" i="19"/>
  <c r="U92" i="19" s="1"/>
  <c r="V85" i="19"/>
  <c r="V92" i="19" s="1"/>
  <c r="W85" i="19"/>
  <c r="W92" i="19" s="1"/>
  <c r="X85" i="19"/>
  <c r="X92" i="19" s="1"/>
  <c r="Y85" i="19"/>
  <c r="Y92" i="19" s="1"/>
  <c r="Z85" i="19"/>
  <c r="Z92" i="19" s="1"/>
  <c r="AA85" i="19"/>
  <c r="AA92" i="19" s="1"/>
  <c r="C85" i="19"/>
  <c r="C92" i="19" s="1"/>
  <c r="D70" i="19"/>
  <c r="E70" i="19"/>
  <c r="F70" i="19"/>
  <c r="G70" i="19"/>
  <c r="H70" i="19"/>
  <c r="I70" i="19"/>
  <c r="J70" i="19"/>
  <c r="K70" i="19"/>
  <c r="L70" i="19"/>
  <c r="M70" i="19"/>
  <c r="N70" i="19"/>
  <c r="T70" i="19"/>
  <c r="U70" i="19"/>
  <c r="V70" i="19"/>
  <c r="W70" i="19"/>
  <c r="X70" i="19"/>
  <c r="Y70" i="19"/>
  <c r="Z70" i="19"/>
  <c r="AA70" i="19"/>
  <c r="C70" i="19"/>
  <c r="E35" i="19"/>
  <c r="F35" i="19"/>
  <c r="G35" i="19"/>
  <c r="H35" i="19"/>
  <c r="I35" i="19"/>
  <c r="J35" i="19"/>
  <c r="K35" i="19"/>
  <c r="L35" i="19"/>
  <c r="M35" i="19"/>
  <c r="N35" i="19"/>
  <c r="T35" i="19"/>
  <c r="U35" i="19"/>
  <c r="V35" i="19"/>
  <c r="W35" i="19"/>
  <c r="X35" i="19"/>
  <c r="Y35" i="19"/>
  <c r="Z35" i="19"/>
  <c r="AA35" i="19"/>
  <c r="D35" i="19"/>
  <c r="G107" i="19"/>
  <c r="F96" i="19" s="1"/>
  <c r="K104" i="19"/>
  <c r="AA93" i="19"/>
  <c r="W93" i="19"/>
  <c r="W94" i="19" s="1"/>
  <c r="V93" i="19"/>
  <c r="V94" i="19" s="1"/>
  <c r="T93" i="19"/>
  <c r="T94" i="19" s="1"/>
  <c r="M93" i="19"/>
  <c r="L93" i="19"/>
  <c r="I93" i="19"/>
  <c r="W88" i="19"/>
  <c r="V88" i="19"/>
  <c r="T80" i="19"/>
  <c r="V80" i="19"/>
  <c r="D80" i="19"/>
  <c r="T79" i="19"/>
  <c r="W79" i="19"/>
  <c r="W78" i="19"/>
  <c r="V78" i="19"/>
  <c r="T78" i="19"/>
  <c r="AA78" i="19"/>
  <c r="D78" i="19"/>
  <c r="T77" i="19"/>
  <c r="D77" i="19"/>
  <c r="T76" i="19"/>
  <c r="AA76" i="19"/>
  <c r="W76" i="19"/>
  <c r="T75" i="19"/>
  <c r="D75" i="19"/>
  <c r="T74" i="19"/>
  <c r="D74" i="19"/>
  <c r="T73" i="19"/>
  <c r="AA73" i="19"/>
  <c r="D73" i="19"/>
  <c r="T72" i="19"/>
  <c r="AA72" i="19"/>
  <c r="T71" i="19"/>
  <c r="N71" i="19"/>
  <c r="W71" i="19"/>
  <c r="D71" i="19"/>
  <c r="T62" i="19"/>
  <c r="M62" i="19"/>
  <c r="C40" i="23" s="1"/>
  <c r="L62" i="19"/>
  <c r="T61" i="19"/>
  <c r="M61" i="19"/>
  <c r="L61" i="19"/>
  <c r="AA60" i="19"/>
  <c r="V60" i="19"/>
  <c r="T60" i="19"/>
  <c r="M60" i="19"/>
  <c r="L60" i="19"/>
  <c r="AA59" i="19"/>
  <c r="W59" i="19"/>
  <c r="V59" i="19"/>
  <c r="T59" i="19"/>
  <c r="M59" i="19"/>
  <c r="L59" i="19"/>
  <c r="E59" i="19"/>
  <c r="D59" i="19"/>
  <c r="AA58" i="19"/>
  <c r="V58" i="19"/>
  <c r="T58" i="19"/>
  <c r="M58" i="19"/>
  <c r="L58" i="19"/>
  <c r="T57" i="19"/>
  <c r="M57" i="19"/>
  <c r="L57" i="19"/>
  <c r="F57" i="19"/>
  <c r="V57" i="19" s="1"/>
  <c r="AC56" i="19"/>
  <c r="AC59" i="19" s="1"/>
  <c r="AC60" i="19" s="1"/>
  <c r="AC67" i="19" s="1"/>
  <c r="AA56" i="19"/>
  <c r="T56" i="19"/>
  <c r="M56" i="19"/>
  <c r="L56" i="19"/>
  <c r="F56" i="19"/>
  <c r="E56" i="19" s="1"/>
  <c r="AA55" i="19"/>
  <c r="T55" i="19"/>
  <c r="M55" i="19"/>
  <c r="L55" i="19"/>
  <c r="F55" i="19"/>
  <c r="E55" i="19" s="1"/>
  <c r="AA54" i="19"/>
  <c r="T54" i="19"/>
  <c r="M54" i="19"/>
  <c r="L54" i="19"/>
  <c r="F54" i="19"/>
  <c r="I54" i="19" s="1"/>
  <c r="AA53" i="19"/>
  <c r="W53" i="19"/>
  <c r="V53" i="19"/>
  <c r="T53" i="19"/>
  <c r="M53" i="19"/>
  <c r="L53" i="19"/>
  <c r="I53" i="19"/>
  <c r="E53" i="19"/>
  <c r="D53" i="19"/>
  <c r="AA52" i="19"/>
  <c r="T52" i="19"/>
  <c r="M52" i="19"/>
  <c r="L52" i="19"/>
  <c r="F52" i="19"/>
  <c r="V52" i="19" s="1"/>
  <c r="AA51" i="19"/>
  <c r="T51" i="19"/>
  <c r="M51" i="19"/>
  <c r="Y51" i="19" s="1"/>
  <c r="L51" i="19"/>
  <c r="F51" i="19"/>
  <c r="E51" i="19" s="1"/>
  <c r="AA50" i="19"/>
  <c r="T50" i="19"/>
  <c r="M50" i="19"/>
  <c r="L50" i="19"/>
  <c r="F50" i="19"/>
  <c r="V50" i="19" s="1"/>
  <c r="AA49" i="19"/>
  <c r="W49" i="19"/>
  <c r="V49" i="19"/>
  <c r="T49" i="19"/>
  <c r="M49" i="19"/>
  <c r="J49" i="19"/>
  <c r="L49" i="19" s="1"/>
  <c r="E49" i="19" s="1"/>
  <c r="I49" i="19"/>
  <c r="D49" i="19"/>
  <c r="AA48" i="19"/>
  <c r="T48" i="19"/>
  <c r="M48" i="19"/>
  <c r="L48" i="19"/>
  <c r="F48" i="19"/>
  <c r="V48" i="19" s="1"/>
  <c r="AA47" i="19"/>
  <c r="T47" i="19"/>
  <c r="M47" i="19"/>
  <c r="C39" i="23" s="1"/>
  <c r="V47" i="19"/>
  <c r="T45" i="19"/>
  <c r="M45" i="19"/>
  <c r="F45" i="19"/>
  <c r="D45" i="19" s="1"/>
  <c r="AA44" i="19"/>
  <c r="W44" i="19"/>
  <c r="V44" i="19"/>
  <c r="T44" i="19"/>
  <c r="M44" i="19"/>
  <c r="I44" i="19"/>
  <c r="D44" i="19"/>
  <c r="AA42" i="19"/>
  <c r="T42" i="19"/>
  <c r="M42" i="19"/>
  <c r="L42" i="19"/>
  <c r="V42" i="19"/>
  <c r="D42" i="19"/>
  <c r="AA41" i="19"/>
  <c r="T41" i="19"/>
  <c r="M41" i="19"/>
  <c r="L41" i="19"/>
  <c r="F41" i="19"/>
  <c r="AA40" i="19"/>
  <c r="T40" i="19"/>
  <c r="AA38" i="19"/>
  <c r="T38" i="19"/>
  <c r="M38" i="19"/>
  <c r="L38" i="19"/>
  <c r="V38" i="19"/>
  <c r="AA37" i="19"/>
  <c r="T37" i="19"/>
  <c r="M37" i="19"/>
  <c r="L37" i="19"/>
  <c r="F37" i="19"/>
  <c r="V37" i="19" s="1"/>
  <c r="AA36" i="19"/>
  <c r="M36" i="19"/>
  <c r="L36" i="19"/>
  <c r="AA31" i="19"/>
  <c r="T31" i="19"/>
  <c r="M31" i="19"/>
  <c r="L31" i="19"/>
  <c r="F31" i="19"/>
  <c r="D31" i="19" s="1"/>
  <c r="AA30" i="19"/>
  <c r="W30" i="19"/>
  <c r="T30" i="19"/>
  <c r="M30" i="19"/>
  <c r="L30" i="19"/>
  <c r="E30" i="19" s="1"/>
  <c r="I30" i="19"/>
  <c r="D30" i="19"/>
  <c r="AA29" i="19"/>
  <c r="W29" i="19"/>
  <c r="V29" i="19"/>
  <c r="T29" i="19"/>
  <c r="M29" i="19"/>
  <c r="C33" i="23" s="1"/>
  <c r="L29" i="19"/>
  <c r="E29" i="19" s="1"/>
  <c r="I29" i="19"/>
  <c r="D29" i="19"/>
  <c r="T28" i="19"/>
  <c r="M28" i="19"/>
  <c r="C32" i="23" s="1"/>
  <c r="L28" i="19"/>
  <c r="W28" i="19"/>
  <c r="AA27" i="19"/>
  <c r="T27" i="19"/>
  <c r="M27" i="19"/>
  <c r="C31" i="23" s="1"/>
  <c r="L27" i="19"/>
  <c r="W27" i="19"/>
  <c r="M25" i="19"/>
  <c r="C29" i="23" s="1"/>
  <c r="L25" i="19"/>
  <c r="V25" i="19"/>
  <c r="D25" i="19"/>
  <c r="W18" i="19"/>
  <c r="V18" i="19"/>
  <c r="T18" i="19"/>
  <c r="M18" i="19"/>
  <c r="L18" i="19"/>
  <c r="E18" i="19" s="1"/>
  <c r="W17" i="19"/>
  <c r="V17" i="19"/>
  <c r="T17" i="19"/>
  <c r="M17" i="19"/>
  <c r="L17" i="19"/>
  <c r="E17" i="19" s="1"/>
  <c r="W16" i="19"/>
  <c r="M16" i="19"/>
  <c r="C23" i="23" s="1"/>
  <c r="L16" i="19"/>
  <c r="E16" i="19" s="1"/>
  <c r="V16" i="19"/>
  <c r="AA14" i="19"/>
  <c r="W14" i="19"/>
  <c r="V14" i="19"/>
  <c r="T14" i="19"/>
  <c r="M14" i="19"/>
  <c r="C21" i="23" s="1"/>
  <c r="I14" i="19"/>
  <c r="V13" i="19"/>
  <c r="T13" i="19"/>
  <c r="M13" i="19"/>
  <c r="L13" i="19"/>
  <c r="T12" i="19"/>
  <c r="M12" i="19"/>
  <c r="L12" i="19"/>
  <c r="F12" i="19"/>
  <c r="V12" i="19" s="1"/>
  <c r="AA11" i="19"/>
  <c r="T11" i="19"/>
  <c r="M11" i="19"/>
  <c r="C20" i="23" s="1"/>
  <c r="L11" i="19"/>
  <c r="F11" i="19"/>
  <c r="D11" i="19" s="1"/>
  <c r="AA10" i="19"/>
  <c r="T10" i="19"/>
  <c r="M10" i="19"/>
  <c r="L10" i="19"/>
  <c r="W8" i="19"/>
  <c r="V8" i="19"/>
  <c r="T8" i="19"/>
  <c r="T7" i="19"/>
  <c r="F7" i="19"/>
  <c r="T6" i="19"/>
  <c r="O6" i="19"/>
  <c r="AA4" i="19"/>
  <c r="M4" i="19"/>
  <c r="L4" i="19"/>
  <c r="E4" i="19"/>
  <c r="E3" i="23" l="1"/>
  <c r="X109" i="11"/>
  <c r="F110" i="11"/>
  <c r="E12" i="23"/>
  <c r="AA115" i="11"/>
  <c r="AB115" i="11" s="1"/>
  <c r="AJ115" i="11"/>
  <c r="AK115" i="11" s="1"/>
  <c r="R111" i="11"/>
  <c r="S114" i="11" s="1"/>
  <c r="I112" i="11"/>
  <c r="J115" i="11" s="1"/>
  <c r="L32" i="19"/>
  <c r="E4" i="23"/>
  <c r="O115" i="11"/>
  <c r="P117" i="11" s="1"/>
  <c r="X113" i="11"/>
  <c r="Y115" i="11" s="1"/>
  <c r="F114" i="11"/>
  <c r="AG114" i="11"/>
  <c r="F116" i="11"/>
  <c r="AG116" i="11"/>
  <c r="X115" i="11"/>
  <c r="O117" i="11"/>
  <c r="M94" i="19"/>
  <c r="C57" i="23"/>
  <c r="AJ104" i="11"/>
  <c r="AA101" i="11"/>
  <c r="R100" i="11"/>
  <c r="I101" i="11"/>
  <c r="L115" i="11"/>
  <c r="U118" i="11"/>
  <c r="E13" i="23"/>
  <c r="C19" i="23"/>
  <c r="M32" i="19"/>
  <c r="C3" i="23"/>
  <c r="C37" i="23"/>
  <c r="M67" i="19"/>
  <c r="AD106" i="11"/>
  <c r="U108" i="11"/>
  <c r="L108" i="11"/>
  <c r="AM107" i="11"/>
  <c r="AD103" i="11"/>
  <c r="U107" i="11"/>
  <c r="L106" i="11"/>
  <c r="AM103" i="11"/>
  <c r="L101" i="11"/>
  <c r="AM108" i="11"/>
  <c r="AD107" i="11"/>
  <c r="U101" i="11"/>
  <c r="E6" i="23"/>
  <c r="C6" i="23"/>
  <c r="C34" i="23"/>
  <c r="C11" i="23"/>
  <c r="X62" i="19"/>
  <c r="Y62" i="19"/>
  <c r="C9" i="23"/>
  <c r="AM109" i="11"/>
  <c r="AD108" i="11"/>
  <c r="U109" i="11"/>
  <c r="L107" i="11"/>
  <c r="U114" i="11"/>
  <c r="V115" i="11" s="1"/>
  <c r="O110" i="11"/>
  <c r="AM115" i="11"/>
  <c r="AN115" i="11" s="1"/>
  <c r="AD115" i="11"/>
  <c r="AE116" i="11" s="1"/>
  <c r="E31" i="19"/>
  <c r="V7" i="19"/>
  <c r="D7" i="19"/>
  <c r="I7" i="19"/>
  <c r="E7" i="19"/>
  <c r="O7" i="19"/>
  <c r="N93" i="19"/>
  <c r="D51" i="19"/>
  <c r="Y18" i="19"/>
  <c r="W41" i="19"/>
  <c r="I41" i="19"/>
  <c r="O12" i="19"/>
  <c r="O31" i="19"/>
  <c r="O52" i="19"/>
  <c r="O50" i="19"/>
  <c r="O37" i="19"/>
  <c r="Y16" i="19"/>
  <c r="Y17" i="19"/>
  <c r="O28" i="19"/>
  <c r="O76" i="19"/>
  <c r="W56" i="19"/>
  <c r="O11" i="19"/>
  <c r="O25" i="19"/>
  <c r="O56" i="19"/>
  <c r="O48" i="19"/>
  <c r="O71" i="19"/>
  <c r="E8" i="23" s="1"/>
  <c r="O51" i="19"/>
  <c r="V76" i="19"/>
  <c r="D12" i="19"/>
  <c r="V40" i="19"/>
  <c r="X40" i="19" s="1"/>
  <c r="E40" i="19"/>
  <c r="D48" i="19"/>
  <c r="O55" i="19"/>
  <c r="O47" i="19"/>
  <c r="O41" i="19"/>
  <c r="D56" i="19"/>
  <c r="W75" i="19"/>
  <c r="O75" i="19"/>
  <c r="U119" i="11" s="1"/>
  <c r="I75" i="19"/>
  <c r="O54" i="19"/>
  <c r="O45" i="19"/>
  <c r="N58" i="19"/>
  <c r="X18" i="19"/>
  <c r="Y59" i="19"/>
  <c r="N61" i="19"/>
  <c r="O88" i="19"/>
  <c r="O90" i="19" s="1"/>
  <c r="O57" i="19"/>
  <c r="Y49" i="19"/>
  <c r="E41" i="19"/>
  <c r="I25" i="19"/>
  <c r="N27" i="19"/>
  <c r="X37" i="19"/>
  <c r="D79" i="19"/>
  <c r="D14" i="19"/>
  <c r="D76" i="19"/>
  <c r="W77" i="19"/>
  <c r="E14" i="19"/>
  <c r="Y28" i="19"/>
  <c r="V31" i="19"/>
  <c r="X31" i="19" s="1"/>
  <c r="W38" i="19"/>
  <c r="Y38" i="19" s="1"/>
  <c r="W40" i="19"/>
  <c r="Y40" i="19" s="1"/>
  <c r="D72" i="19"/>
  <c r="E6" i="19"/>
  <c r="W25" i="19"/>
  <c r="Y25" i="19" s="1"/>
  <c r="N28" i="19"/>
  <c r="X42" i="19"/>
  <c r="D54" i="19"/>
  <c r="N59" i="19"/>
  <c r="D27" i="19"/>
  <c r="D38" i="19"/>
  <c r="D41" i="19"/>
  <c r="N42" i="19"/>
  <c r="D47" i="19"/>
  <c r="E54" i="19"/>
  <c r="V71" i="19"/>
  <c r="X71" i="19" s="1"/>
  <c r="N30" i="19"/>
  <c r="I88" i="19"/>
  <c r="Y27" i="19"/>
  <c r="I47" i="19"/>
  <c r="I48" i="19"/>
  <c r="D50" i="19"/>
  <c r="X52" i="19"/>
  <c r="K102" i="19"/>
  <c r="X25" i="19"/>
  <c r="E27" i="19"/>
  <c r="V30" i="19"/>
  <c r="X30" i="19" s="1"/>
  <c r="I45" i="19"/>
  <c r="E48" i="19"/>
  <c r="E50" i="19"/>
  <c r="I51" i="19"/>
  <c r="X53" i="19"/>
  <c r="V55" i="19"/>
  <c r="X55" i="19" s="1"/>
  <c r="V56" i="19"/>
  <c r="X56" i="19" s="1"/>
  <c r="W74" i="19"/>
  <c r="I79" i="19"/>
  <c r="N49" i="19"/>
  <c r="M73" i="19"/>
  <c r="C45" i="23" s="1"/>
  <c r="D6" i="19"/>
  <c r="W47" i="19"/>
  <c r="Y47" i="19" s="1"/>
  <c r="N50" i="19"/>
  <c r="Y93" i="19"/>
  <c r="W6" i="19"/>
  <c r="Y6" i="19" s="1"/>
  <c r="W48" i="19"/>
  <c r="Y48" i="19" s="1"/>
  <c r="E12" i="19"/>
  <c r="N16" i="19"/>
  <c r="D28" i="19"/>
  <c r="X38" i="19"/>
  <c r="W45" i="19"/>
  <c r="Y45" i="19" s="1"/>
  <c r="V51" i="19"/>
  <c r="X51" i="19" s="1"/>
  <c r="I56" i="19"/>
  <c r="X57" i="19"/>
  <c r="X59" i="19"/>
  <c r="I72" i="19"/>
  <c r="X16" i="19"/>
  <c r="N10" i="19"/>
  <c r="E42" i="19"/>
  <c r="X47" i="19"/>
  <c r="X48" i="19"/>
  <c r="N62" i="19"/>
  <c r="X13" i="19"/>
  <c r="X29" i="19"/>
  <c r="N57" i="19"/>
  <c r="Y29" i="19"/>
  <c r="N37" i="19"/>
  <c r="N38" i="19"/>
  <c r="X44" i="19"/>
  <c r="V72" i="19"/>
  <c r="V79" i="19"/>
  <c r="M72" i="19"/>
  <c r="M79" i="19"/>
  <c r="N12" i="19"/>
  <c r="Y30" i="19"/>
  <c r="Y44" i="19"/>
  <c r="AA79" i="19"/>
  <c r="N56" i="19"/>
  <c r="X50" i="19"/>
  <c r="N51" i="19"/>
  <c r="N18" i="19"/>
  <c r="X12" i="19"/>
  <c r="AA32" i="19"/>
  <c r="N41" i="19"/>
  <c r="N4" i="19"/>
  <c r="AA67" i="19"/>
  <c r="N52" i="19"/>
  <c r="X17" i="19"/>
  <c r="T32" i="19"/>
  <c r="N31" i="19"/>
  <c r="X7" i="19"/>
  <c r="Y56" i="19"/>
  <c r="N60" i="19"/>
  <c r="M74" i="19"/>
  <c r="I74" i="19"/>
  <c r="N40" i="19"/>
  <c r="M75" i="19"/>
  <c r="C5" i="23" s="1"/>
  <c r="I6" i="19"/>
  <c r="W12" i="19"/>
  <c r="Y12" i="19" s="1"/>
  <c r="N14" i="19"/>
  <c r="X14" i="19"/>
  <c r="I71" i="19"/>
  <c r="E13" i="19"/>
  <c r="D13" i="19"/>
  <c r="Y13" i="19"/>
  <c r="I13" i="19"/>
  <c r="T67" i="19"/>
  <c r="W10" i="19"/>
  <c r="Y10" i="19" s="1"/>
  <c r="I10" i="19"/>
  <c r="Y54" i="19"/>
  <c r="N11" i="19"/>
  <c r="E28" i="19"/>
  <c r="N25" i="19"/>
  <c r="T82" i="19"/>
  <c r="M78" i="19"/>
  <c r="X94" i="19"/>
  <c r="Y8" i="19"/>
  <c r="I11" i="19"/>
  <c r="N54" i="19"/>
  <c r="M88" i="19"/>
  <c r="X8" i="19"/>
  <c r="V10" i="19"/>
  <c r="X10" i="19" s="1"/>
  <c r="V11" i="19"/>
  <c r="X11" i="19" s="1"/>
  <c r="N36" i="19"/>
  <c r="Y41" i="19"/>
  <c r="N53" i="19"/>
  <c r="Y53" i="19"/>
  <c r="I55" i="19"/>
  <c r="W55" i="19"/>
  <c r="Y55" i="19" s="1"/>
  <c r="D55" i="19"/>
  <c r="V73" i="19"/>
  <c r="V77" i="19"/>
  <c r="N48" i="19"/>
  <c r="W7" i="19"/>
  <c r="Y7" i="19" s="1"/>
  <c r="I12" i="19"/>
  <c r="D10" i="19"/>
  <c r="W11" i="19"/>
  <c r="Y11" i="19" s="1"/>
  <c r="Y14" i="19"/>
  <c r="N17" i="19"/>
  <c r="N29" i="19"/>
  <c r="E52" i="19"/>
  <c r="D52" i="19"/>
  <c r="W52" i="19"/>
  <c r="Y52" i="19" s="1"/>
  <c r="I52" i="19"/>
  <c r="W57" i="19"/>
  <c r="Y57" i="19" s="1"/>
  <c r="I57" i="19"/>
  <c r="Y71" i="19"/>
  <c r="W73" i="19"/>
  <c r="N77" i="19"/>
  <c r="AA77" i="19"/>
  <c r="I77" i="19"/>
  <c r="M80" i="19"/>
  <c r="C51" i="23" s="1"/>
  <c r="AA80" i="19"/>
  <c r="V6" i="19"/>
  <c r="E10" i="19"/>
  <c r="E11" i="19"/>
  <c r="N13" i="19"/>
  <c r="E37" i="19"/>
  <c r="D37" i="19"/>
  <c r="W37" i="19"/>
  <c r="I37" i="19"/>
  <c r="X49" i="19"/>
  <c r="N55" i="19"/>
  <c r="W31" i="19"/>
  <c r="Y31" i="19" s="1"/>
  <c r="V45" i="19"/>
  <c r="X45" i="19" s="1"/>
  <c r="V74" i="19"/>
  <c r="M76" i="19"/>
  <c r="W80" i="19"/>
  <c r="X93" i="19"/>
  <c r="V27" i="19"/>
  <c r="X27" i="19" s="1"/>
  <c r="I28" i="19"/>
  <c r="V41" i="19"/>
  <c r="X41" i="19" s="1"/>
  <c r="W42" i="19"/>
  <c r="Y42" i="19" s="1"/>
  <c r="I50" i="19"/>
  <c r="V54" i="19"/>
  <c r="X54" i="19" s="1"/>
  <c r="W72" i="19"/>
  <c r="I73" i="19"/>
  <c r="V28" i="19"/>
  <c r="X28" i="19" s="1"/>
  <c r="E25" i="19"/>
  <c r="I27" i="19"/>
  <c r="E38" i="19"/>
  <c r="Y50" i="19"/>
  <c r="V75" i="19"/>
  <c r="I76" i="19"/>
  <c r="D88" i="19"/>
  <c r="D18" i="11"/>
  <c r="C26" i="11"/>
  <c r="C28" i="11" s="1"/>
  <c r="H5" i="24" s="1"/>
  <c r="O5" i="24" s="1"/>
  <c r="AH116" i="11" l="1"/>
  <c r="O67" i="19"/>
  <c r="X108" i="11"/>
  <c r="Y110" i="11" s="1"/>
  <c r="O109" i="11"/>
  <c r="F109" i="11"/>
  <c r="G111" i="11" s="1"/>
  <c r="AG108" i="11"/>
  <c r="AH111" i="11" s="1"/>
  <c r="P112" i="11"/>
  <c r="G116" i="11"/>
  <c r="C7" i="23"/>
  <c r="C55" i="23"/>
  <c r="I103" i="11"/>
  <c r="L105" i="11"/>
  <c r="AJ102" i="11"/>
  <c r="O105" i="11"/>
  <c r="AG102" i="11"/>
  <c r="R104" i="11"/>
  <c r="AM102" i="11"/>
  <c r="F104" i="11"/>
  <c r="AD101" i="11"/>
  <c r="X104" i="11"/>
  <c r="AA103" i="11"/>
  <c r="C4" i="23"/>
  <c r="N79" i="19"/>
  <c r="C50" i="23"/>
  <c r="N78" i="19"/>
  <c r="C49" i="23"/>
  <c r="N74" i="19"/>
  <c r="C46" i="23"/>
  <c r="N72" i="19"/>
  <c r="C44" i="23"/>
  <c r="N76" i="19"/>
  <c r="C48" i="23"/>
  <c r="N75" i="19"/>
  <c r="C47" i="23"/>
  <c r="E10" i="23"/>
  <c r="I105" i="11"/>
  <c r="AJ103" i="11"/>
  <c r="AA105" i="11"/>
  <c r="U103" i="11"/>
  <c r="U106" i="11"/>
  <c r="M109" i="11"/>
  <c r="E7" i="23"/>
  <c r="C10" i="23"/>
  <c r="N73" i="19"/>
  <c r="C13" i="23"/>
  <c r="N80" i="19"/>
  <c r="C12" i="23"/>
  <c r="E5" i="23"/>
  <c r="AD120" i="11"/>
  <c r="AE122" i="11" s="1"/>
  <c r="AM119" i="11"/>
  <c r="AN120" i="11" s="1"/>
  <c r="V121" i="11"/>
  <c r="L116" i="11"/>
  <c r="M118" i="11" s="1"/>
  <c r="B103" i="11"/>
  <c r="D8" i="16" s="1"/>
  <c r="O32" i="19"/>
  <c r="AM110" i="11"/>
  <c r="AD110" i="11"/>
  <c r="U111" i="11"/>
  <c r="O100" i="11"/>
  <c r="E9" i="23"/>
  <c r="Y94" i="19"/>
  <c r="W101" i="19"/>
  <c r="M90" i="19"/>
  <c r="N90" i="19" s="1"/>
  <c r="N99" i="19"/>
  <c r="Y79" i="19"/>
  <c r="O82" i="19"/>
  <c r="Y75" i="19"/>
  <c r="Y77" i="19"/>
  <c r="M82" i="19"/>
  <c r="Y73" i="19"/>
  <c r="X79" i="19"/>
  <c r="X75" i="19"/>
  <c r="X72" i="19"/>
  <c r="Y78" i="19"/>
  <c r="X78" i="19"/>
  <c r="Y72" i="19"/>
  <c r="W82" i="19"/>
  <c r="Y76" i="19"/>
  <c r="V32" i="19"/>
  <c r="X6" i="19"/>
  <c r="X77" i="19"/>
  <c r="K103" i="19"/>
  <c r="N88" i="19"/>
  <c r="K99" i="19"/>
  <c r="N32" i="19"/>
  <c r="N98" i="19"/>
  <c r="X74" i="19"/>
  <c r="X73" i="19"/>
  <c r="V82" i="19"/>
  <c r="V67" i="19"/>
  <c r="X76" i="19"/>
  <c r="W32" i="19"/>
  <c r="N100" i="19"/>
  <c r="K100" i="19"/>
  <c r="N102" i="19"/>
  <c r="N101" i="19"/>
  <c r="Y74" i="19"/>
  <c r="X88" i="19"/>
  <c r="Y80" i="19"/>
  <c r="Y37" i="19"/>
  <c r="W67" i="19"/>
  <c r="Y88" i="19"/>
  <c r="X80" i="19"/>
  <c r="B97" i="19" l="1"/>
  <c r="B98" i="19" s="1"/>
  <c r="B99" i="19" s="1"/>
  <c r="AG121" i="11"/>
  <c r="AH104" i="11"/>
  <c r="C58" i="23"/>
  <c r="D57" i="23" s="1"/>
  <c r="AJ120" i="11"/>
  <c r="AK106" i="11"/>
  <c r="Y32" i="19"/>
  <c r="X97" i="19"/>
  <c r="L126" i="11"/>
  <c r="R119" i="11"/>
  <c r="S104" i="11"/>
  <c r="Y104" i="11"/>
  <c r="X120" i="11"/>
  <c r="F121" i="11"/>
  <c r="G105" i="11"/>
  <c r="J106" i="11"/>
  <c r="I120" i="11"/>
  <c r="C14" i="23"/>
  <c r="D7" i="23" s="1"/>
  <c r="B104" i="11"/>
  <c r="E8" i="16" s="1"/>
  <c r="U97" i="19"/>
  <c r="E14" i="23"/>
  <c r="F9" i="23" s="1"/>
  <c r="P105" i="11"/>
  <c r="O122" i="11"/>
  <c r="V111" i="11"/>
  <c r="U129" i="11"/>
  <c r="AE111" i="11"/>
  <c r="AD130" i="11"/>
  <c r="AN111" i="11"/>
  <c r="AM129" i="11"/>
  <c r="E82" i="19"/>
  <c r="T97" i="19"/>
  <c r="T98" i="19" s="1"/>
  <c r="V97" i="19"/>
  <c r="W97" i="19"/>
  <c r="E32" i="19"/>
  <c r="N82" i="19"/>
  <c r="D82" i="19"/>
  <c r="D67" i="19"/>
  <c r="D32" i="19"/>
  <c r="K101" i="19"/>
  <c r="K105" i="19" s="1"/>
  <c r="Y82" i="19"/>
  <c r="X82" i="19"/>
  <c r="X32" i="19"/>
  <c r="Y67" i="19"/>
  <c r="X67" i="19"/>
  <c r="H4" i="16"/>
  <c r="H3" i="16"/>
  <c r="I3" i="16" s="1"/>
  <c r="E4" i="16"/>
  <c r="D4" i="16"/>
  <c r="D13" i="14"/>
  <c r="D14" i="14" s="1"/>
  <c r="D15" i="14" s="1"/>
  <c r="D16" i="14" s="1"/>
  <c r="D17" i="14" s="1"/>
  <c r="D18" i="14" s="1"/>
  <c r="D19" i="14" s="1"/>
  <c r="D20" i="14" s="1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B8" i="14"/>
  <c r="C8" i="14" s="1"/>
  <c r="D54" i="23" l="1"/>
  <c r="D52" i="23"/>
  <c r="D50" i="23"/>
  <c r="D34" i="23"/>
  <c r="D44" i="23"/>
  <c r="D47" i="23"/>
  <c r="D48" i="23"/>
  <c r="D23" i="23"/>
  <c r="D18" i="23"/>
  <c r="D55" i="23"/>
  <c r="D17" i="23"/>
  <c r="D29" i="23"/>
  <c r="D49" i="23"/>
  <c r="D26" i="23"/>
  <c r="D21" i="23"/>
  <c r="D41" i="23"/>
  <c r="D27" i="23"/>
  <c r="D19" i="23"/>
  <c r="D36" i="23"/>
  <c r="D37" i="23"/>
  <c r="D33" i="23"/>
  <c r="D46" i="23"/>
  <c r="D25" i="23"/>
  <c r="D35" i="23"/>
  <c r="D43" i="23"/>
  <c r="D39" i="23"/>
  <c r="D31" i="23"/>
  <c r="D51" i="23"/>
  <c r="D53" i="23"/>
  <c r="D38" i="23"/>
  <c r="D30" i="23"/>
  <c r="D42" i="23"/>
  <c r="D40" i="23"/>
  <c r="D20" i="23"/>
  <c r="D24" i="23"/>
  <c r="D56" i="23"/>
  <c r="D32" i="23"/>
  <c r="D45" i="23"/>
  <c r="D28" i="23"/>
  <c r="D22" i="23"/>
  <c r="D5" i="23"/>
  <c r="AB106" i="11"/>
  <c r="B102" i="11" s="1"/>
  <c r="AA120" i="11"/>
  <c r="D12" i="23"/>
  <c r="D10" i="23"/>
  <c r="B2" i="21"/>
  <c r="B3" i="21" s="1"/>
  <c r="B5" i="21" s="1"/>
  <c r="D13" i="23"/>
  <c r="D11" i="23"/>
  <c r="D4" i="23"/>
  <c r="D9" i="23"/>
  <c r="D8" i="23"/>
  <c r="D6" i="23"/>
  <c r="D3" i="23"/>
  <c r="F5" i="23"/>
  <c r="F3" i="23"/>
  <c r="F11" i="23"/>
  <c r="F8" i="23"/>
  <c r="E15" i="23"/>
  <c r="F13" i="23"/>
  <c r="F4" i="23"/>
  <c r="F7" i="23"/>
  <c r="F6" i="23"/>
  <c r="F10" i="23"/>
  <c r="F12" i="23"/>
  <c r="I4" i="16"/>
  <c r="K4" i="16"/>
  <c r="K5" i="16"/>
  <c r="U98" i="19"/>
  <c r="B6" i="21"/>
  <c r="V98" i="19"/>
  <c r="D21" i="14"/>
  <c r="D22" i="14" s="1"/>
  <c r="D23" i="14" s="1"/>
  <c r="D24" i="14" s="1"/>
  <c r="D25" i="14" s="1"/>
  <c r="B9" i="14"/>
  <c r="C9" i="14" s="1"/>
  <c r="I2" i="21" l="1"/>
  <c r="M2" i="21" s="1"/>
  <c r="P2" i="21" s="1"/>
  <c r="B8" i="21"/>
  <c r="C8" i="16"/>
  <c r="H8" i="16" s="1"/>
  <c r="I8" i="16" s="1"/>
  <c r="B107" i="11"/>
  <c r="B11" i="21"/>
  <c r="J4" i="16"/>
  <c r="J5" i="16"/>
  <c r="B7" i="21"/>
  <c r="B10" i="21" s="1"/>
  <c r="D26" i="14"/>
  <c r="D27" i="14" s="1"/>
  <c r="D28" i="14" s="1"/>
  <c r="D29" i="14" s="1"/>
  <c r="B10" i="14"/>
  <c r="C10" i="14" s="1"/>
  <c r="I3" i="21" l="1"/>
  <c r="O2" i="21"/>
  <c r="R2" i="21" s="1"/>
  <c r="N2" i="21" s="1"/>
  <c r="D30" i="14"/>
  <c r="D31" i="14" s="1"/>
  <c r="D32" i="14" s="1"/>
  <c r="D33" i="14" s="1"/>
  <c r="B11" i="14"/>
  <c r="C11" i="14" s="1"/>
  <c r="K3" i="21" l="1"/>
  <c r="L3" i="21" s="1"/>
  <c r="Q2" i="21"/>
  <c r="D34" i="14"/>
  <c r="D35" i="14" s="1"/>
  <c r="D36" i="14" s="1"/>
  <c r="D37" i="14" s="1"/>
  <c r="B12" i="14"/>
  <c r="C12" i="14" s="1"/>
  <c r="M3" i="21" l="1"/>
  <c r="I4" i="21" s="1"/>
  <c r="D38" i="14"/>
  <c r="D39" i="14" s="1"/>
  <c r="D40" i="14" s="1"/>
  <c r="D41" i="14" s="1"/>
  <c r="B13" i="14"/>
  <c r="C13" i="14" s="1"/>
  <c r="O3" i="21" l="1"/>
  <c r="K4" i="21" s="1"/>
  <c r="L4" i="21" s="1"/>
  <c r="P3" i="21"/>
  <c r="D42" i="14"/>
  <c r="D43" i="14" s="1"/>
  <c r="D44" i="14" s="1"/>
  <c r="D45" i="14" s="1"/>
  <c r="B14" i="14"/>
  <c r="C14" i="14" s="1"/>
  <c r="R3" i="21" l="1"/>
  <c r="N3" i="21" s="1"/>
  <c r="Q3" i="21"/>
  <c r="M4" i="21"/>
  <c r="I5" i="21" s="1"/>
  <c r="D46" i="14"/>
  <c r="D47" i="14" s="1"/>
  <c r="D48" i="14" s="1"/>
  <c r="B15" i="14"/>
  <c r="C15" i="14" s="1"/>
  <c r="D12" i="2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F17" i="2"/>
  <c r="P4" i="21" l="1"/>
  <c r="O4" i="21"/>
  <c r="Q4" i="21" s="1"/>
  <c r="D49" i="14"/>
  <c r="D50" i="14" s="1"/>
  <c r="D51" i="14" s="1"/>
  <c r="D52" i="14" s="1"/>
  <c r="D53" i="14" s="1"/>
  <c r="B16" i="14"/>
  <c r="C16" i="14" s="1"/>
  <c r="R4" i="21" l="1"/>
  <c r="N4" i="21" s="1"/>
  <c r="K5" i="21"/>
  <c r="L5" i="21" s="1"/>
  <c r="D54" i="14"/>
  <c r="D55" i="14" s="1"/>
  <c r="D56" i="14" s="1"/>
  <c r="D57" i="14" s="1"/>
  <c r="B17" i="14"/>
  <c r="C17" i="14" s="1"/>
  <c r="H19" i="2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G19" i="2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J18" i="2"/>
  <c r="F18" i="2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H72" i="2" l="1"/>
  <c r="H73" i="2" s="1"/>
  <c r="M5" i="21"/>
  <c r="D58" i="14"/>
  <c r="D59" i="14" s="1"/>
  <c r="D60" i="14" s="1"/>
  <c r="D61" i="14" s="1"/>
  <c r="B18" i="14"/>
  <c r="C18" i="14" s="1"/>
  <c r="J55" i="2"/>
  <c r="J31" i="2"/>
  <c r="I20" i="2"/>
  <c r="J70" i="2"/>
  <c r="J54" i="2"/>
  <c r="J38" i="2"/>
  <c r="J30" i="2"/>
  <c r="J59" i="2"/>
  <c r="J65" i="2"/>
  <c r="J57" i="2"/>
  <c r="J49" i="2"/>
  <c r="J41" i="2"/>
  <c r="J33" i="2"/>
  <c r="J25" i="2"/>
  <c r="J72" i="2"/>
  <c r="J64" i="2"/>
  <c r="J56" i="2"/>
  <c r="J48" i="2"/>
  <c r="J40" i="2"/>
  <c r="J32" i="2"/>
  <c r="J24" i="2"/>
  <c r="J63" i="2"/>
  <c r="J39" i="2"/>
  <c r="J69" i="2"/>
  <c r="J61" i="2"/>
  <c r="J53" i="2"/>
  <c r="J45" i="2"/>
  <c r="J37" i="2"/>
  <c r="J29" i="2"/>
  <c r="J21" i="2"/>
  <c r="J68" i="2"/>
  <c r="J60" i="2"/>
  <c r="J52" i="2"/>
  <c r="J44" i="2"/>
  <c r="J36" i="2"/>
  <c r="J28" i="2"/>
  <c r="J20" i="2"/>
  <c r="J71" i="2"/>
  <c r="J47" i="2"/>
  <c r="J23" i="2"/>
  <c r="J62" i="2"/>
  <c r="J46" i="2"/>
  <c r="J22" i="2"/>
  <c r="J67" i="2"/>
  <c r="J51" i="2"/>
  <c r="J43" i="2"/>
  <c r="J35" i="2"/>
  <c r="J27" i="2"/>
  <c r="J19" i="2"/>
  <c r="J66" i="2"/>
  <c r="J58" i="2"/>
  <c r="J50" i="2"/>
  <c r="J42" i="2"/>
  <c r="J34" i="2"/>
  <c r="J26" i="2"/>
  <c r="I45" i="2"/>
  <c r="I22" i="2"/>
  <c r="I71" i="2"/>
  <c r="I39" i="2"/>
  <c r="I21" i="2"/>
  <c r="I63" i="2"/>
  <c r="I55" i="2"/>
  <c r="I54" i="2"/>
  <c r="I30" i="2"/>
  <c r="I62" i="2"/>
  <c r="I47" i="2"/>
  <c r="I29" i="2"/>
  <c r="I38" i="2"/>
  <c r="I37" i="2"/>
  <c r="I31" i="2"/>
  <c r="I46" i="2"/>
  <c r="I23" i="2"/>
  <c r="I70" i="2"/>
  <c r="I69" i="2"/>
  <c r="I68" i="2"/>
  <c r="I67" i="2"/>
  <c r="I59" i="2"/>
  <c r="I51" i="2"/>
  <c r="I43" i="2"/>
  <c r="I35" i="2"/>
  <c r="I27" i="2"/>
  <c r="I19" i="2"/>
  <c r="I53" i="2"/>
  <c r="I52" i="2"/>
  <c r="I28" i="2"/>
  <c r="I66" i="2"/>
  <c r="I50" i="2"/>
  <c r="I42" i="2"/>
  <c r="I26" i="2"/>
  <c r="I65" i="2"/>
  <c r="I57" i="2"/>
  <c r="I49" i="2"/>
  <c r="I41" i="2"/>
  <c r="I33" i="2"/>
  <c r="I25" i="2"/>
  <c r="I61" i="2"/>
  <c r="I60" i="2"/>
  <c r="I44" i="2"/>
  <c r="I36" i="2"/>
  <c r="I58" i="2"/>
  <c r="I34" i="2"/>
  <c r="I72" i="2"/>
  <c r="I64" i="2"/>
  <c r="I56" i="2"/>
  <c r="I48" i="2"/>
  <c r="I40" i="2"/>
  <c r="I32" i="2"/>
  <c r="I24" i="2"/>
  <c r="H74" i="2" l="1"/>
  <c r="J73" i="2"/>
  <c r="I73" i="2"/>
  <c r="O5" i="21"/>
  <c r="P5" i="21"/>
  <c r="I6" i="21"/>
  <c r="D62" i="14"/>
  <c r="D63" i="14" s="1"/>
  <c r="D64" i="14" s="1"/>
  <c r="D65" i="14" s="1"/>
  <c r="B19" i="14"/>
  <c r="C19" i="14" s="1"/>
  <c r="I74" i="2"/>
  <c r="H75" i="2" l="1"/>
  <c r="J74" i="2"/>
  <c r="R5" i="21"/>
  <c r="N5" i="21" s="1"/>
  <c r="K6" i="21"/>
  <c r="L6" i="21" s="1"/>
  <c r="Q5" i="21"/>
  <c r="D66" i="14"/>
  <c r="D67" i="14" s="1"/>
  <c r="D68" i="14" s="1"/>
  <c r="D69" i="14" s="1"/>
  <c r="B20" i="14"/>
  <c r="C20" i="14" s="1"/>
  <c r="I75" i="2"/>
  <c r="H76" i="2" l="1"/>
  <c r="J75" i="2"/>
  <c r="M6" i="21"/>
  <c r="I7" i="21" s="1"/>
  <c r="D70" i="14"/>
  <c r="D71" i="14" s="1"/>
  <c r="D72" i="14" s="1"/>
  <c r="D73" i="14" s="1"/>
  <c r="D74" i="14" s="1"/>
  <c r="D75" i="14" s="1"/>
  <c r="D76" i="14" s="1"/>
  <c r="D77" i="14" s="1"/>
  <c r="D78" i="14" s="1"/>
  <c r="B21" i="14"/>
  <c r="C21" i="14" s="1"/>
  <c r="I76" i="2"/>
  <c r="H77" i="2" l="1"/>
  <c r="J76" i="2"/>
  <c r="O6" i="21"/>
  <c r="P6" i="21"/>
  <c r="B22" i="14"/>
  <c r="C22" i="14" s="1"/>
  <c r="I77" i="2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A376" i="13" s="1"/>
  <c r="A377" i="13" s="1"/>
  <c r="A378" i="13" s="1"/>
  <c r="A379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A399" i="13" s="1"/>
  <c r="A400" i="13" s="1"/>
  <c r="A401" i="13" s="1"/>
  <c r="A402" i="13" s="1"/>
  <c r="A403" i="13" s="1"/>
  <c r="A404" i="13" s="1"/>
  <c r="A405" i="13" s="1"/>
  <c r="A406" i="13" s="1"/>
  <c r="A407" i="13" s="1"/>
  <c r="A408" i="13" s="1"/>
  <c r="A409" i="13" s="1"/>
  <c r="A410" i="13" s="1"/>
  <c r="A411" i="13" s="1"/>
  <c r="A412" i="13" s="1"/>
  <c r="A413" i="13" s="1"/>
  <c r="A414" i="13" s="1"/>
  <c r="A415" i="13" s="1"/>
  <c r="A416" i="13" s="1"/>
  <c r="A417" i="13" s="1"/>
  <c r="A418" i="13" s="1"/>
  <c r="A419" i="13" s="1"/>
  <c r="A420" i="13" s="1"/>
  <c r="A421" i="13" s="1"/>
  <c r="A422" i="13" s="1"/>
  <c r="A423" i="13" s="1"/>
  <c r="A424" i="13" s="1"/>
  <c r="A425" i="13" s="1"/>
  <c r="A426" i="13" s="1"/>
  <c r="A427" i="13" s="1"/>
  <c r="A428" i="13" s="1"/>
  <c r="B8" i="13"/>
  <c r="C8" i="13" s="1"/>
  <c r="H78" i="2" l="1"/>
  <c r="J77" i="2"/>
  <c r="R6" i="21"/>
  <c r="N6" i="21" s="1"/>
  <c r="K7" i="21"/>
  <c r="Q6" i="21"/>
  <c r="B9" i="13"/>
  <c r="C9" i="13" s="1"/>
  <c r="B23" i="14"/>
  <c r="C23" i="14" s="1"/>
  <c r="I78" i="2"/>
  <c r="H79" i="2" l="1"/>
  <c r="J78" i="2"/>
  <c r="L7" i="21"/>
  <c r="M7" i="21"/>
  <c r="B10" i="13"/>
  <c r="C10" i="13" s="1"/>
  <c r="B24" i="14"/>
  <c r="C24" i="14" s="1"/>
  <c r="I79" i="2"/>
  <c r="H80" i="2" l="1"/>
  <c r="J79" i="2"/>
  <c r="P7" i="21"/>
  <c r="I8" i="21"/>
  <c r="O7" i="21"/>
  <c r="B11" i="13"/>
  <c r="C11" i="13" s="1"/>
  <c r="B25" i="14"/>
  <c r="C25" i="14" s="1"/>
  <c r="I80" i="2"/>
  <c r="H81" i="2" l="1"/>
  <c r="J80" i="2"/>
  <c r="R7" i="21"/>
  <c r="N7" i="21" s="1"/>
  <c r="Q7" i="21"/>
  <c r="K8" i="21"/>
  <c r="L8" i="21" s="1"/>
  <c r="B12" i="13"/>
  <c r="B26" i="14"/>
  <c r="C26" i="14" s="1"/>
  <c r="H82" i="2" l="1"/>
  <c r="J81" i="2"/>
  <c r="I81" i="2"/>
  <c r="M8" i="21"/>
  <c r="C12" i="13"/>
  <c r="B13" i="13" s="1"/>
  <c r="B27" i="14"/>
  <c r="C27" i="14" s="1"/>
  <c r="H83" i="2" l="1"/>
  <c r="J82" i="2"/>
  <c r="I82" i="2"/>
  <c r="P8" i="21"/>
  <c r="I9" i="21"/>
  <c r="O8" i="21"/>
  <c r="K9" i="21" s="1"/>
  <c r="C13" i="13"/>
  <c r="B14" i="13" s="1"/>
  <c r="C14" i="13" s="1"/>
  <c r="B15" i="13" s="1"/>
  <c r="C15" i="13" s="1"/>
  <c r="B28" i="14"/>
  <c r="C28" i="14" s="1"/>
  <c r="H84" i="2" l="1"/>
  <c r="J83" i="2"/>
  <c r="I83" i="2"/>
  <c r="R8" i="21"/>
  <c r="N8" i="21" s="1"/>
  <c r="Q8" i="21"/>
  <c r="L9" i="21"/>
  <c r="M9" i="21"/>
  <c r="B29" i="14"/>
  <c r="C29" i="14" s="1"/>
  <c r="B16" i="13"/>
  <c r="C16" i="13" s="1"/>
  <c r="H85" i="2" l="1"/>
  <c r="J84" i="2"/>
  <c r="I84" i="2"/>
  <c r="P9" i="21"/>
  <c r="O9" i="21"/>
  <c r="I10" i="21"/>
  <c r="B30" i="14"/>
  <c r="C30" i="14" s="1"/>
  <c r="B17" i="13"/>
  <c r="C17" i="13" s="1"/>
  <c r="H86" i="2" l="1"/>
  <c r="J85" i="2"/>
  <c r="I85" i="2"/>
  <c r="R9" i="21"/>
  <c r="N9" i="21" s="1"/>
  <c r="K10" i="21"/>
  <c r="Q9" i="21"/>
  <c r="B31" i="14"/>
  <c r="C31" i="14" s="1"/>
  <c r="B18" i="13"/>
  <c r="C18" i="13" s="1"/>
  <c r="H87" i="2" l="1"/>
  <c r="J86" i="2"/>
  <c r="I86" i="2"/>
  <c r="L10" i="21"/>
  <c r="M10" i="21"/>
  <c r="B32" i="14"/>
  <c r="C32" i="14" s="1"/>
  <c r="B19" i="13"/>
  <c r="C19" i="13" s="1"/>
  <c r="H88" i="2" l="1"/>
  <c r="J87" i="2"/>
  <c r="I87" i="2"/>
  <c r="P10" i="21"/>
  <c r="I11" i="21"/>
  <c r="O10" i="21"/>
  <c r="B33" i="14"/>
  <c r="C33" i="14" s="1"/>
  <c r="B20" i="13"/>
  <c r="C20" i="13" s="1"/>
  <c r="H89" i="2" l="1"/>
  <c r="J88" i="2"/>
  <c r="I88" i="2"/>
  <c r="R10" i="21"/>
  <c r="N10" i="21" s="1"/>
  <c r="K11" i="21"/>
  <c r="L11" i="21" s="1"/>
  <c r="Q10" i="21"/>
  <c r="B34" i="14"/>
  <c r="C34" i="14" s="1"/>
  <c r="B21" i="13"/>
  <c r="C21" i="13" s="1"/>
  <c r="H90" i="2" l="1"/>
  <c r="J89" i="2"/>
  <c r="I89" i="2"/>
  <c r="M11" i="21"/>
  <c r="I12" i="21" s="1"/>
  <c r="B35" i="14"/>
  <c r="C35" i="14" s="1"/>
  <c r="B22" i="13"/>
  <c r="C22" i="13" s="1"/>
  <c r="H91" i="2" l="1"/>
  <c r="J90" i="2"/>
  <c r="I90" i="2"/>
  <c r="P11" i="21"/>
  <c r="O11" i="21"/>
  <c r="K12" i="21" s="1"/>
  <c r="B36" i="14"/>
  <c r="C36" i="14" s="1"/>
  <c r="B23" i="13"/>
  <c r="C23" i="13" s="1"/>
  <c r="H92" i="2" l="1"/>
  <c r="J91" i="2"/>
  <c r="I91" i="2"/>
  <c r="Q11" i="21"/>
  <c r="R11" i="21"/>
  <c r="N11" i="21" s="1"/>
  <c r="L12" i="21"/>
  <c r="M12" i="21"/>
  <c r="B37" i="14"/>
  <c r="C37" i="14" s="1"/>
  <c r="B24" i="13"/>
  <c r="C24" i="13" s="1"/>
  <c r="H93" i="2" l="1"/>
  <c r="J92" i="2"/>
  <c r="I92" i="2"/>
  <c r="P12" i="21"/>
  <c r="O12" i="21"/>
  <c r="I13" i="21"/>
  <c r="B38" i="14"/>
  <c r="C38" i="14" s="1"/>
  <c r="B25" i="13"/>
  <c r="C25" i="13" s="1"/>
  <c r="H94" i="2" l="1"/>
  <c r="J93" i="2"/>
  <c r="I93" i="2"/>
  <c r="R12" i="21"/>
  <c r="N12" i="21" s="1"/>
  <c r="K13" i="21"/>
  <c r="L13" i="21" s="1"/>
  <c r="Q12" i="21"/>
  <c r="B39" i="14"/>
  <c r="C39" i="14" s="1"/>
  <c r="B26" i="13"/>
  <c r="C26" i="13" s="1"/>
  <c r="H95" i="2" l="1"/>
  <c r="J94" i="2"/>
  <c r="I94" i="2"/>
  <c r="M13" i="21"/>
  <c r="B40" i="14"/>
  <c r="C40" i="14" s="1"/>
  <c r="B27" i="13"/>
  <c r="C27" i="13" s="1"/>
  <c r="H96" i="2" l="1"/>
  <c r="J95" i="2"/>
  <c r="I95" i="2"/>
  <c r="P13" i="21"/>
  <c r="B16" i="21" s="1"/>
  <c r="I14" i="21"/>
  <c r="O13" i="21"/>
  <c r="Q13" i="21" s="1"/>
  <c r="B41" i="14"/>
  <c r="C41" i="14" s="1"/>
  <c r="B28" i="13"/>
  <c r="C28" i="13" s="1"/>
  <c r="H97" i="2" l="1"/>
  <c r="J96" i="2"/>
  <c r="I96" i="2"/>
  <c r="R13" i="21"/>
  <c r="N13" i="21" s="1"/>
  <c r="K14" i="21"/>
  <c r="L14" i="21" s="1"/>
  <c r="B42" i="14"/>
  <c r="C42" i="14" s="1"/>
  <c r="B29" i="13"/>
  <c r="C29" i="13" s="1"/>
  <c r="H98" i="2" l="1"/>
  <c r="J97" i="2"/>
  <c r="I97" i="2"/>
  <c r="M14" i="21"/>
  <c r="O14" i="21" s="1"/>
  <c r="B43" i="14"/>
  <c r="C43" i="14" s="1"/>
  <c r="B30" i="13"/>
  <c r="C30" i="13" s="1"/>
  <c r="H99" i="2" l="1"/>
  <c r="J98" i="2"/>
  <c r="I98" i="2"/>
  <c r="P14" i="21"/>
  <c r="R14" i="21" s="1"/>
  <c r="N14" i="21" s="1"/>
  <c r="I15" i="21"/>
  <c r="B14" i="21" s="1"/>
  <c r="K15" i="21"/>
  <c r="L15" i="21" s="1"/>
  <c r="Q14" i="21"/>
  <c r="B44" i="14"/>
  <c r="C44" i="14" s="1"/>
  <c r="B31" i="13"/>
  <c r="C31" i="13" s="1"/>
  <c r="H100" i="2" l="1"/>
  <c r="J99" i="2"/>
  <c r="I99" i="2"/>
  <c r="M15" i="21"/>
  <c r="B45" i="14"/>
  <c r="C45" i="14" s="1"/>
  <c r="B32" i="13"/>
  <c r="C32" i="13" s="1"/>
  <c r="H101" i="2" l="1"/>
  <c r="J100" i="2"/>
  <c r="I100" i="2"/>
  <c r="P15" i="21"/>
  <c r="O15" i="21"/>
  <c r="I16" i="21"/>
  <c r="B46" i="14"/>
  <c r="C46" i="14" s="1"/>
  <c r="B33" i="13"/>
  <c r="C33" i="13" s="1"/>
  <c r="H102" i="2" l="1"/>
  <c r="J101" i="2"/>
  <c r="I101" i="2"/>
  <c r="R15" i="21"/>
  <c r="N15" i="21" s="1"/>
  <c r="B17" i="21"/>
  <c r="K16" i="21"/>
  <c r="L16" i="21" s="1"/>
  <c r="Q15" i="21"/>
  <c r="B47" i="14"/>
  <c r="C47" i="14" s="1"/>
  <c r="B34" i="13"/>
  <c r="C34" i="13" s="1"/>
  <c r="H103" i="2" l="1"/>
  <c r="J102" i="2"/>
  <c r="I102" i="2"/>
  <c r="M16" i="21"/>
  <c r="I17" i="21" s="1"/>
  <c r="B48" i="14"/>
  <c r="C48" i="14" s="1"/>
  <c r="B35" i="13"/>
  <c r="C35" i="13" s="1"/>
  <c r="H104" i="2" l="1"/>
  <c r="J103" i="2"/>
  <c r="I103" i="2"/>
  <c r="O16" i="21"/>
  <c r="K17" i="21" s="1"/>
  <c r="L17" i="21" s="1"/>
  <c r="P16" i="21"/>
  <c r="B49" i="14"/>
  <c r="C49" i="14" s="1"/>
  <c r="B36" i="13"/>
  <c r="C36" i="13" s="1"/>
  <c r="H105" i="2" l="1"/>
  <c r="J104" i="2"/>
  <c r="I104" i="2"/>
  <c r="Q16" i="21"/>
  <c r="R16" i="21"/>
  <c r="N16" i="21" s="1"/>
  <c r="M17" i="21"/>
  <c r="B50" i="14"/>
  <c r="C50" i="14" s="1"/>
  <c r="B37" i="13"/>
  <c r="C37" i="13" s="1"/>
  <c r="H106" i="2" l="1"/>
  <c r="J105" i="2"/>
  <c r="I105" i="2"/>
  <c r="O17" i="21"/>
  <c r="P17" i="21"/>
  <c r="I18" i="21"/>
  <c r="B51" i="14"/>
  <c r="C51" i="14" s="1"/>
  <c r="B38" i="13"/>
  <c r="C38" i="13" s="1"/>
  <c r="H107" i="2" l="1"/>
  <c r="J106" i="2"/>
  <c r="I106" i="2"/>
  <c r="R17" i="21"/>
  <c r="N17" i="21" s="1"/>
  <c r="K18" i="21"/>
  <c r="L18" i="21" s="1"/>
  <c r="Q17" i="21"/>
  <c r="B52" i="14"/>
  <c r="C52" i="14" s="1"/>
  <c r="B39" i="13"/>
  <c r="C39" i="13" s="1"/>
  <c r="H108" i="2" l="1"/>
  <c r="J107" i="2"/>
  <c r="I107" i="2"/>
  <c r="M18" i="21"/>
  <c r="B53" i="14"/>
  <c r="C53" i="14" s="1"/>
  <c r="B40" i="13"/>
  <c r="C40" i="13" s="1"/>
  <c r="J108" i="2" l="1"/>
  <c r="I108" i="2"/>
  <c r="O18" i="21"/>
  <c r="P18" i="21"/>
  <c r="I19" i="21"/>
  <c r="B54" i="14"/>
  <c r="C54" i="14" s="1"/>
  <c r="B41" i="13"/>
  <c r="C41" i="13" s="1"/>
  <c r="R18" i="21" l="1"/>
  <c r="N18" i="21" s="1"/>
  <c r="Q18" i="21"/>
  <c r="K19" i="21"/>
  <c r="L19" i="21" s="1"/>
  <c r="B55" i="14"/>
  <c r="C55" i="14" s="1"/>
  <c r="B42" i="13"/>
  <c r="C42" i="13" s="1"/>
  <c r="M19" i="21" l="1"/>
  <c r="B56" i="14"/>
  <c r="C56" i="14" s="1"/>
  <c r="B43" i="13"/>
  <c r="C43" i="13" s="1"/>
  <c r="P19" i="21" l="1"/>
  <c r="O19" i="21"/>
  <c r="I20" i="21"/>
  <c r="B57" i="14"/>
  <c r="C57" i="14" s="1"/>
  <c r="B44" i="13"/>
  <c r="C44" i="13" s="1"/>
  <c r="R19" i="21" l="1"/>
  <c r="N19" i="21" s="1"/>
  <c r="Q19" i="21"/>
  <c r="K20" i="21"/>
  <c r="L20" i="21" s="1"/>
  <c r="B58" i="14"/>
  <c r="C58" i="14" s="1"/>
  <c r="B45" i="13"/>
  <c r="C45" i="13" s="1"/>
  <c r="M20" i="21" l="1"/>
  <c r="B59" i="14"/>
  <c r="C59" i="14" s="1"/>
  <c r="B46" i="13"/>
  <c r="C46" i="13" s="1"/>
  <c r="P20" i="21" l="1"/>
  <c r="I21" i="21"/>
  <c r="O20" i="21"/>
  <c r="B60" i="14"/>
  <c r="C60" i="14" s="1"/>
  <c r="B47" i="13"/>
  <c r="C47" i="13" s="1"/>
  <c r="R20" i="21" l="1"/>
  <c r="N20" i="21" s="1"/>
  <c r="Q20" i="21"/>
  <c r="K21" i="21"/>
  <c r="L21" i="21" s="1"/>
  <c r="B61" i="14"/>
  <c r="C61" i="14" s="1"/>
  <c r="B48" i="13"/>
  <c r="C48" i="13" s="1"/>
  <c r="M21" i="21" l="1"/>
  <c r="P21" i="21" s="1"/>
  <c r="B62" i="14"/>
  <c r="C62" i="14" s="1"/>
  <c r="B49" i="13"/>
  <c r="C49" i="13" s="1"/>
  <c r="I22" i="21" l="1"/>
  <c r="O21" i="21"/>
  <c r="Q21" i="21" s="1"/>
  <c r="B63" i="14"/>
  <c r="C63" i="14" s="1"/>
  <c r="B50" i="13"/>
  <c r="C50" i="13" s="1"/>
  <c r="R21" i="21" l="1"/>
  <c r="N21" i="21" s="1"/>
  <c r="K22" i="21"/>
  <c r="L22" i="21" s="1"/>
  <c r="B64" i="14"/>
  <c r="C64" i="14" s="1"/>
  <c r="B51" i="13"/>
  <c r="C51" i="13" s="1"/>
  <c r="M22" i="21" l="1"/>
  <c r="P22" i="21" s="1"/>
  <c r="B65" i="14"/>
  <c r="C65" i="14" s="1"/>
  <c r="B52" i="13"/>
  <c r="C52" i="13" s="1"/>
  <c r="O22" i="21" l="1"/>
  <c r="R22" i="21" s="1"/>
  <c r="N22" i="21" s="1"/>
  <c r="I23" i="21"/>
  <c r="B66" i="14"/>
  <c r="C66" i="14" s="1"/>
  <c r="B53" i="13"/>
  <c r="C53" i="13" s="1"/>
  <c r="Q22" i="21" l="1"/>
  <c r="K23" i="21"/>
  <c r="L23" i="21" s="1"/>
  <c r="B67" i="14"/>
  <c r="C67" i="14" s="1"/>
  <c r="B54" i="13"/>
  <c r="C54" i="13" s="1"/>
  <c r="M23" i="21" l="1"/>
  <c r="O23" i="21" s="1"/>
  <c r="K24" i="21" s="1"/>
  <c r="L24" i="21" s="1"/>
  <c r="B68" i="14"/>
  <c r="C68" i="14" s="1"/>
  <c r="B55" i="13"/>
  <c r="C55" i="13" s="1"/>
  <c r="Q23" i="21" l="1"/>
  <c r="P23" i="21"/>
  <c r="R23" i="21" s="1"/>
  <c r="N23" i="21" s="1"/>
  <c r="I24" i="21"/>
  <c r="M24" i="21" s="1"/>
  <c r="P24" i="21" s="1"/>
  <c r="B69" i="14"/>
  <c r="C69" i="14" s="1"/>
  <c r="B56" i="13"/>
  <c r="C56" i="13" s="1"/>
  <c r="O24" i="21" l="1"/>
  <c r="K25" i="21" s="1"/>
  <c r="L25" i="21" s="1"/>
  <c r="I25" i="21"/>
  <c r="B70" i="14"/>
  <c r="C70" i="14" s="1"/>
  <c r="B57" i="13"/>
  <c r="C57" i="13" s="1"/>
  <c r="R24" i="21" l="1"/>
  <c r="N24" i="21" s="1"/>
  <c r="Q24" i="21"/>
  <c r="B71" i="14"/>
  <c r="C71" i="14" s="1"/>
  <c r="B58" i="13"/>
  <c r="C58" i="13" s="1"/>
  <c r="M25" i="21" l="1"/>
  <c r="B72" i="14"/>
  <c r="C72" i="14" s="1"/>
  <c r="B59" i="13"/>
  <c r="C59" i="13" s="1"/>
  <c r="P25" i="21" l="1"/>
  <c r="I26" i="21"/>
  <c r="O25" i="21"/>
  <c r="K26" i="21" s="1"/>
  <c r="L26" i="21" s="1"/>
  <c r="B73" i="14"/>
  <c r="C73" i="14" s="1"/>
  <c r="B60" i="13"/>
  <c r="C60" i="13" s="1"/>
  <c r="R25" i="21" l="1"/>
  <c r="N25" i="21" s="1"/>
  <c r="Q25" i="21"/>
  <c r="B74" i="14"/>
  <c r="C74" i="14" s="1"/>
  <c r="B61" i="13"/>
  <c r="C61" i="13" s="1"/>
  <c r="M26" i="21" l="1"/>
  <c r="O26" i="21" s="1"/>
  <c r="K27" i="21" s="1"/>
  <c r="L27" i="21" s="1"/>
  <c r="B75" i="14"/>
  <c r="C75" i="14" s="1"/>
  <c r="B62" i="13"/>
  <c r="C62" i="13" s="1"/>
  <c r="P26" i="21" l="1"/>
  <c r="R26" i="21" s="1"/>
  <c r="N26" i="21" s="1"/>
  <c r="I27" i="21"/>
  <c r="Q26" i="21"/>
  <c r="B76" i="14"/>
  <c r="C76" i="14" s="1"/>
  <c r="B63" i="13"/>
  <c r="C63" i="13" s="1"/>
  <c r="M27" i="21" l="1"/>
  <c r="B77" i="14"/>
  <c r="C77" i="14" s="1"/>
  <c r="B64" i="13"/>
  <c r="C64" i="13" s="1"/>
  <c r="I28" i="21" l="1"/>
  <c r="P27" i="21"/>
  <c r="O27" i="21"/>
  <c r="K28" i="21" s="1"/>
  <c r="L28" i="21" s="1"/>
  <c r="B78" i="14"/>
  <c r="B65" i="13"/>
  <c r="C65" i="13" s="1"/>
  <c r="R27" i="21" l="1"/>
  <c r="N27" i="21" s="1"/>
  <c r="Q27" i="21"/>
  <c r="F2" i="14"/>
  <c r="F6" i="14" s="1"/>
  <c r="C78" i="14"/>
  <c r="B66" i="13"/>
  <c r="C66" i="13" s="1"/>
  <c r="M28" i="21" l="1"/>
  <c r="P28" i="21" s="1"/>
  <c r="B67" i="13"/>
  <c r="C67" i="13" s="1"/>
  <c r="O28" i="21" l="1"/>
  <c r="R28" i="21" s="1"/>
  <c r="N28" i="21" s="1"/>
  <c r="I29" i="21"/>
  <c r="B68" i="13"/>
  <c r="C68" i="13" s="1"/>
  <c r="Q28" i="21" l="1"/>
  <c r="K29" i="21"/>
  <c r="L29" i="21" s="1"/>
  <c r="B69" i="13"/>
  <c r="C69" i="13" s="1"/>
  <c r="M29" i="21" l="1"/>
  <c r="O29" i="21" s="1"/>
  <c r="K30" i="21" s="1"/>
  <c r="L30" i="21" s="1"/>
  <c r="B70" i="13"/>
  <c r="C70" i="13" s="1"/>
  <c r="P29" i="21" l="1"/>
  <c r="R29" i="21" s="1"/>
  <c r="N29" i="21" s="1"/>
  <c r="I30" i="21"/>
  <c r="Q29" i="21"/>
  <c r="B71" i="13"/>
  <c r="C71" i="13" s="1"/>
  <c r="M30" i="21" l="1"/>
  <c r="B72" i="13"/>
  <c r="C72" i="13" s="1"/>
  <c r="P30" i="21" l="1"/>
  <c r="I31" i="21"/>
  <c r="O30" i="21"/>
  <c r="K31" i="21" s="1"/>
  <c r="L31" i="21" s="1"/>
  <c r="B73" i="13"/>
  <c r="C73" i="13" s="1"/>
  <c r="R30" i="21" l="1"/>
  <c r="N30" i="21" s="1"/>
  <c r="Q30" i="21"/>
  <c r="B74" i="13"/>
  <c r="C74" i="13" s="1"/>
  <c r="M31" i="21" l="1"/>
  <c r="B75" i="13"/>
  <c r="C75" i="13" s="1"/>
  <c r="P31" i="21" l="1"/>
  <c r="I32" i="21"/>
  <c r="O31" i="21"/>
  <c r="K32" i="21" s="1"/>
  <c r="L32" i="21" s="1"/>
  <c r="B76" i="13"/>
  <c r="C76" i="13" s="1"/>
  <c r="R31" i="21" l="1"/>
  <c r="N31" i="21" s="1"/>
  <c r="Q31" i="21"/>
  <c r="B77" i="13"/>
  <c r="C77" i="13" s="1"/>
  <c r="M32" i="21" l="1"/>
  <c r="I33" i="21" s="1"/>
  <c r="B78" i="13"/>
  <c r="C78" i="13" s="1"/>
  <c r="P32" i="21" l="1"/>
  <c r="O32" i="21"/>
  <c r="K33" i="21" s="1"/>
  <c r="L33" i="21" s="1"/>
  <c r="B79" i="13"/>
  <c r="C79" i="13" s="1"/>
  <c r="R32" i="21" l="1"/>
  <c r="N32" i="21" s="1"/>
  <c r="Q32" i="21"/>
  <c r="M33" i="21"/>
  <c r="B80" i="13"/>
  <c r="C80" i="13" s="1"/>
  <c r="O33" i="21" l="1"/>
  <c r="K34" i="21" s="1"/>
  <c r="L34" i="21" s="1"/>
  <c r="I34" i="21"/>
  <c r="P33" i="21"/>
  <c r="B81" i="13"/>
  <c r="C81" i="13" s="1"/>
  <c r="R33" i="21" l="1"/>
  <c r="N33" i="21" s="1"/>
  <c r="Q33" i="21"/>
  <c r="B82" i="13"/>
  <c r="C82" i="13" s="1"/>
  <c r="M34" i="21" l="1"/>
  <c r="B83" i="13"/>
  <c r="C83" i="13" s="1"/>
  <c r="O34" i="21" l="1"/>
  <c r="K35" i="21" s="1"/>
  <c r="L35" i="21" s="1"/>
  <c r="P34" i="21"/>
  <c r="I35" i="21"/>
  <c r="B84" i="13"/>
  <c r="C84" i="13" s="1"/>
  <c r="R34" i="21" l="1"/>
  <c r="N34" i="21" s="1"/>
  <c r="Q34" i="21"/>
  <c r="B85" i="13"/>
  <c r="C85" i="13" s="1"/>
  <c r="M35" i="21" l="1"/>
  <c r="B86" i="13"/>
  <c r="C86" i="13" s="1"/>
  <c r="I36" i="21" l="1"/>
  <c r="O35" i="21"/>
  <c r="K36" i="21" s="1"/>
  <c r="L36" i="21" s="1"/>
  <c r="P35" i="21"/>
  <c r="B87" i="13"/>
  <c r="C87" i="13" s="1"/>
  <c r="R35" i="21" l="1"/>
  <c r="N35" i="21" s="1"/>
  <c r="Q35" i="21"/>
  <c r="M36" i="21"/>
  <c r="B88" i="13"/>
  <c r="C88" i="13" s="1"/>
  <c r="O36" i="21" l="1"/>
  <c r="K37" i="21" s="1"/>
  <c r="L37" i="21" s="1"/>
  <c r="P36" i="21"/>
  <c r="I37" i="21"/>
  <c r="B89" i="13"/>
  <c r="C89" i="13" s="1"/>
  <c r="R36" i="21" l="1"/>
  <c r="N36" i="21" s="1"/>
  <c r="Q36" i="21"/>
  <c r="B90" i="13"/>
  <c r="C90" i="13" s="1"/>
  <c r="M37" i="21" l="1"/>
  <c r="B91" i="13"/>
  <c r="C91" i="13" s="1"/>
  <c r="I38" i="21" l="1"/>
  <c r="P37" i="21"/>
  <c r="O37" i="21"/>
  <c r="K38" i="21" s="1"/>
  <c r="L38" i="21" s="1"/>
  <c r="B92" i="13"/>
  <c r="C92" i="13" s="1"/>
  <c r="R37" i="21" l="1"/>
  <c r="N37" i="21" s="1"/>
  <c r="Q37" i="21"/>
  <c r="B93" i="13"/>
  <c r="C93" i="13" s="1"/>
  <c r="M38" i="21" l="1"/>
  <c r="I39" i="21" s="1"/>
  <c r="B94" i="13"/>
  <c r="C94" i="13" s="1"/>
  <c r="P38" i="21" l="1"/>
  <c r="O38" i="21"/>
  <c r="K39" i="21" s="1"/>
  <c r="L39" i="21" s="1"/>
  <c r="B95" i="13"/>
  <c r="C95" i="13" s="1"/>
  <c r="R38" i="21" l="1"/>
  <c r="N38" i="21" s="1"/>
  <c r="Q38" i="21"/>
  <c r="M39" i="21"/>
  <c r="P39" i="21" s="1"/>
  <c r="B96" i="13"/>
  <c r="C96" i="13" s="1"/>
  <c r="O39" i="21" l="1"/>
  <c r="K40" i="21" s="1"/>
  <c r="L40" i="21" s="1"/>
  <c r="I40" i="21"/>
  <c r="B97" i="13"/>
  <c r="C97" i="13" s="1"/>
  <c r="R39" i="21" l="1"/>
  <c r="N39" i="21" s="1"/>
  <c r="Q39" i="21"/>
  <c r="M40" i="21"/>
  <c r="P40" i="21" s="1"/>
  <c r="B98" i="13"/>
  <c r="C98" i="13" s="1"/>
  <c r="O40" i="21" l="1"/>
  <c r="R40" i="21" s="1"/>
  <c r="N40" i="21" s="1"/>
  <c r="I41" i="21"/>
  <c r="B99" i="13"/>
  <c r="C99" i="13" s="1"/>
  <c r="Q40" i="21" l="1"/>
  <c r="K41" i="21"/>
  <c r="L41" i="21" s="1"/>
  <c r="B100" i="13"/>
  <c r="C100" i="13" s="1"/>
  <c r="M41" i="21" l="1"/>
  <c r="O41" i="21" s="1"/>
  <c r="Q41" i="21" s="1"/>
  <c r="B101" i="13"/>
  <c r="C101" i="13" s="1"/>
  <c r="P41" i="21" l="1"/>
  <c r="R41" i="21" s="1"/>
  <c r="N41" i="21" s="1"/>
  <c r="B102" i="13"/>
  <c r="C102" i="13" s="1"/>
  <c r="B103" i="13" l="1"/>
  <c r="C103" i="13" s="1"/>
  <c r="B104" i="13" l="1"/>
  <c r="C104" i="13" s="1"/>
  <c r="B105" i="13" l="1"/>
  <c r="C105" i="13" s="1"/>
  <c r="B106" i="13" l="1"/>
  <c r="C106" i="13" s="1"/>
  <c r="B107" i="13" l="1"/>
  <c r="C107" i="13" s="1"/>
  <c r="B108" i="13" l="1"/>
  <c r="C108" i="13" s="1"/>
  <c r="B109" i="13" l="1"/>
  <c r="C109" i="13" s="1"/>
  <c r="B110" i="13" l="1"/>
  <c r="C110" i="13" s="1"/>
  <c r="B111" i="13" l="1"/>
  <c r="C111" i="13" s="1"/>
  <c r="B112" i="13" l="1"/>
  <c r="C112" i="13" s="1"/>
  <c r="B113" i="13" l="1"/>
  <c r="C113" i="13" s="1"/>
  <c r="B114" i="13" l="1"/>
  <c r="C114" i="13" s="1"/>
  <c r="B115" i="13" l="1"/>
  <c r="C115" i="13" s="1"/>
  <c r="B116" i="13" l="1"/>
  <c r="C116" i="13" s="1"/>
  <c r="B117" i="13" l="1"/>
  <c r="C117" i="13" s="1"/>
  <c r="B118" i="13" l="1"/>
  <c r="C118" i="13" s="1"/>
  <c r="B119" i="13" l="1"/>
  <c r="C119" i="13" s="1"/>
  <c r="B120" i="13" l="1"/>
  <c r="C120" i="13" s="1"/>
  <c r="B121" i="13" l="1"/>
  <c r="C121" i="13" s="1"/>
  <c r="B122" i="13" l="1"/>
  <c r="C122" i="13" s="1"/>
  <c r="B123" i="13" l="1"/>
  <c r="C123" i="13" s="1"/>
  <c r="B124" i="13" l="1"/>
  <c r="C124" i="13" s="1"/>
  <c r="B125" i="13" l="1"/>
  <c r="C125" i="13" s="1"/>
  <c r="B126" i="13" l="1"/>
  <c r="C126" i="13" s="1"/>
  <c r="B127" i="13" l="1"/>
  <c r="C127" i="13" s="1"/>
  <c r="B128" i="13" l="1"/>
  <c r="C128" i="13" s="1"/>
  <c r="B129" i="13" l="1"/>
  <c r="C129" i="13" s="1"/>
  <c r="B130" i="13" l="1"/>
  <c r="C130" i="13" s="1"/>
  <c r="B131" i="13" l="1"/>
  <c r="C131" i="13" s="1"/>
  <c r="B132" i="13" l="1"/>
  <c r="C132" i="13" s="1"/>
  <c r="B133" i="13" l="1"/>
  <c r="C133" i="13" s="1"/>
  <c r="B134" i="13" l="1"/>
  <c r="C134" i="13" s="1"/>
  <c r="B135" i="13" l="1"/>
  <c r="C135" i="13" s="1"/>
  <c r="B136" i="13" l="1"/>
  <c r="C136" i="13" s="1"/>
  <c r="F3" i="14" l="1"/>
  <c r="F4" i="14" s="1"/>
  <c r="F7" i="14"/>
  <c r="B137" i="13"/>
  <c r="C137" i="13" s="1"/>
  <c r="F5" i="14" l="1"/>
  <c r="B138" i="13"/>
  <c r="C138" i="13" s="1"/>
  <c r="B139" i="13" l="1"/>
  <c r="C139" i="13" s="1"/>
  <c r="B140" i="13" l="1"/>
  <c r="C140" i="13" s="1"/>
  <c r="B141" i="13" l="1"/>
  <c r="C141" i="13" s="1"/>
  <c r="B142" i="13" l="1"/>
  <c r="C142" i="13" s="1"/>
  <c r="B143" i="13" l="1"/>
  <c r="C143" i="13" s="1"/>
  <c r="B144" i="13" l="1"/>
  <c r="C144" i="13" s="1"/>
  <c r="B145" i="13" l="1"/>
  <c r="C145" i="13" s="1"/>
  <c r="B146" i="13" l="1"/>
  <c r="C146" i="13" s="1"/>
  <c r="B147" i="13" l="1"/>
  <c r="C147" i="13" s="1"/>
  <c r="B148" i="13" l="1"/>
  <c r="C148" i="13" s="1"/>
  <c r="B149" i="13" l="1"/>
  <c r="C149" i="13" s="1"/>
  <c r="B150" i="13" l="1"/>
  <c r="C150" i="13" s="1"/>
  <c r="B151" i="13" l="1"/>
  <c r="C151" i="13" s="1"/>
  <c r="B152" i="13" l="1"/>
  <c r="C152" i="13" s="1"/>
  <c r="B153" i="13" l="1"/>
  <c r="C153" i="13" s="1"/>
  <c r="B154" i="13" l="1"/>
  <c r="C154" i="13" s="1"/>
  <c r="B155" i="13" l="1"/>
  <c r="C155" i="13" s="1"/>
  <c r="B156" i="13" l="1"/>
  <c r="C156" i="13" s="1"/>
  <c r="B157" i="13" l="1"/>
  <c r="C157" i="13" s="1"/>
  <c r="B158" i="13" l="1"/>
  <c r="C158" i="13" s="1"/>
  <c r="B159" i="13" l="1"/>
  <c r="C159" i="13" s="1"/>
  <c r="B160" i="13" l="1"/>
  <c r="C160" i="13" s="1"/>
  <c r="B161" i="13" l="1"/>
  <c r="C161" i="13" s="1"/>
  <c r="B162" i="13" l="1"/>
  <c r="C162" i="13" s="1"/>
  <c r="B163" i="13" l="1"/>
  <c r="C163" i="13" s="1"/>
  <c r="B164" i="13" l="1"/>
  <c r="C164" i="13" s="1"/>
  <c r="B165" i="13" l="1"/>
  <c r="C165" i="13" s="1"/>
  <c r="B166" i="13" l="1"/>
  <c r="C166" i="13" s="1"/>
  <c r="B167" i="13" l="1"/>
  <c r="C167" i="13" s="1"/>
  <c r="B168" i="13" l="1"/>
  <c r="C168" i="13" s="1"/>
  <c r="B169" i="13" l="1"/>
  <c r="C169" i="13" s="1"/>
  <c r="B170" i="13" l="1"/>
  <c r="C170" i="13" s="1"/>
  <c r="B171" i="13" l="1"/>
  <c r="C171" i="13" s="1"/>
  <c r="B172" i="13" l="1"/>
  <c r="C172" i="13" s="1"/>
  <c r="B173" i="13" l="1"/>
  <c r="C173" i="13" s="1"/>
  <c r="B174" i="13" l="1"/>
  <c r="C174" i="13" s="1"/>
  <c r="B175" i="13" l="1"/>
  <c r="C175" i="13" s="1"/>
  <c r="B176" i="13" l="1"/>
  <c r="C176" i="13" s="1"/>
  <c r="B177" i="13" l="1"/>
  <c r="C177" i="13" s="1"/>
  <c r="B178" i="13" l="1"/>
  <c r="C178" i="13" s="1"/>
  <c r="B179" i="13" l="1"/>
  <c r="C179" i="13" s="1"/>
  <c r="B180" i="13" l="1"/>
  <c r="C180" i="13" s="1"/>
  <c r="B181" i="13" l="1"/>
  <c r="C181" i="13" s="1"/>
  <c r="B182" i="13" l="1"/>
  <c r="C182" i="13" s="1"/>
  <c r="B183" i="13" l="1"/>
  <c r="C183" i="13" s="1"/>
  <c r="B184" i="13" l="1"/>
  <c r="C184" i="13" s="1"/>
  <c r="B185" i="13" l="1"/>
  <c r="C185" i="13" s="1"/>
  <c r="B186" i="13" l="1"/>
  <c r="C186" i="13" s="1"/>
  <c r="B187" i="13" l="1"/>
  <c r="C187" i="13" s="1"/>
  <c r="B188" i="13" l="1"/>
  <c r="C188" i="13" s="1"/>
  <c r="B189" i="13" l="1"/>
  <c r="C189" i="13" s="1"/>
  <c r="B190" i="13" l="1"/>
  <c r="C190" i="13" s="1"/>
  <c r="B191" i="13" l="1"/>
  <c r="C191" i="13" s="1"/>
  <c r="B192" i="13" l="1"/>
  <c r="C192" i="13" s="1"/>
  <c r="B193" i="13" l="1"/>
  <c r="C193" i="13" s="1"/>
  <c r="B194" i="13" l="1"/>
  <c r="C194" i="13" s="1"/>
  <c r="B195" i="13" l="1"/>
  <c r="C195" i="13" s="1"/>
  <c r="B196" i="13" l="1"/>
  <c r="C196" i="13" s="1"/>
  <c r="B197" i="13" l="1"/>
  <c r="C197" i="13" s="1"/>
  <c r="B198" i="13" l="1"/>
  <c r="C198" i="13" s="1"/>
  <c r="B199" i="13" l="1"/>
  <c r="C199" i="13" s="1"/>
  <c r="B200" i="13" l="1"/>
  <c r="C200" i="13" s="1"/>
  <c r="B201" i="13" l="1"/>
  <c r="C201" i="13" s="1"/>
  <c r="B202" i="13" l="1"/>
  <c r="C202" i="13" s="1"/>
  <c r="B203" i="13" l="1"/>
  <c r="C203" i="13" s="1"/>
  <c r="B204" i="13" l="1"/>
  <c r="C204" i="13" s="1"/>
  <c r="B205" i="13" l="1"/>
  <c r="C205" i="13" s="1"/>
  <c r="B206" i="13" l="1"/>
  <c r="C206" i="13" s="1"/>
  <c r="B207" i="13" l="1"/>
  <c r="C207" i="13" s="1"/>
  <c r="B208" i="13" l="1"/>
  <c r="C208" i="13" s="1"/>
  <c r="B209" i="13" l="1"/>
  <c r="C209" i="13" s="1"/>
  <c r="B210" i="13" l="1"/>
  <c r="C210" i="13" s="1"/>
  <c r="B211" i="13" l="1"/>
  <c r="C211" i="13" s="1"/>
  <c r="B212" i="13" l="1"/>
  <c r="C212" i="13" s="1"/>
  <c r="B213" i="13" l="1"/>
  <c r="C213" i="13" s="1"/>
  <c r="B214" i="13" l="1"/>
  <c r="C214" i="13" s="1"/>
  <c r="B215" i="13" l="1"/>
  <c r="C215" i="13" s="1"/>
  <c r="B216" i="13" l="1"/>
  <c r="C216" i="13" s="1"/>
  <c r="B217" i="13" l="1"/>
  <c r="C217" i="13" s="1"/>
  <c r="B218" i="13" l="1"/>
  <c r="C218" i="13" s="1"/>
  <c r="B219" i="13" l="1"/>
  <c r="C219" i="13" s="1"/>
  <c r="B220" i="13" l="1"/>
  <c r="C220" i="13" s="1"/>
  <c r="B221" i="13" l="1"/>
  <c r="C221" i="13" s="1"/>
  <c r="B222" i="13" l="1"/>
  <c r="C222" i="13" s="1"/>
  <c r="B223" i="13" l="1"/>
  <c r="C223" i="13" s="1"/>
  <c r="B224" i="13" l="1"/>
  <c r="C224" i="13" s="1"/>
  <c r="B225" i="13" l="1"/>
  <c r="C225" i="13" s="1"/>
  <c r="B226" i="13" l="1"/>
  <c r="C226" i="13" s="1"/>
  <c r="B227" i="13" l="1"/>
  <c r="C227" i="13" s="1"/>
  <c r="B228" i="13" l="1"/>
  <c r="C228" i="13" s="1"/>
  <c r="B229" i="13" l="1"/>
  <c r="C229" i="13" s="1"/>
  <c r="B230" i="13" l="1"/>
  <c r="C230" i="13" s="1"/>
  <c r="B231" i="13" l="1"/>
  <c r="C231" i="13" s="1"/>
  <c r="B232" i="13" l="1"/>
  <c r="C232" i="13" s="1"/>
  <c r="B233" i="13" l="1"/>
  <c r="C233" i="13" s="1"/>
  <c r="B234" i="13" l="1"/>
  <c r="C234" i="13" s="1"/>
  <c r="B235" i="13" l="1"/>
  <c r="C235" i="13" s="1"/>
  <c r="B236" i="13" l="1"/>
  <c r="C236" i="13" s="1"/>
  <c r="B237" i="13" l="1"/>
  <c r="C237" i="13" s="1"/>
  <c r="B238" i="13" l="1"/>
  <c r="C238" i="13" s="1"/>
  <c r="B239" i="13" l="1"/>
  <c r="C239" i="13" s="1"/>
  <c r="B240" i="13" l="1"/>
  <c r="C240" i="13" s="1"/>
  <c r="B241" i="13" l="1"/>
  <c r="C241" i="13" s="1"/>
  <c r="B242" i="13" l="1"/>
  <c r="C242" i="13" s="1"/>
  <c r="B243" i="13" l="1"/>
  <c r="C243" i="13" s="1"/>
  <c r="B244" i="13" l="1"/>
  <c r="C244" i="13" s="1"/>
  <c r="B245" i="13" l="1"/>
  <c r="C245" i="13" s="1"/>
  <c r="B246" i="13" l="1"/>
  <c r="C246" i="13" s="1"/>
  <c r="B247" i="13" l="1"/>
  <c r="C247" i="13" s="1"/>
  <c r="B248" i="13" l="1"/>
  <c r="C248" i="13" s="1"/>
  <c r="B249" i="13" l="1"/>
  <c r="C249" i="13" s="1"/>
  <c r="B250" i="13" l="1"/>
  <c r="C250" i="13" s="1"/>
  <c r="B251" i="13" l="1"/>
  <c r="C251" i="13" s="1"/>
  <c r="B252" i="13" l="1"/>
  <c r="C252" i="13" s="1"/>
  <c r="B253" i="13" l="1"/>
  <c r="C253" i="13" s="1"/>
  <c r="B254" i="13" l="1"/>
  <c r="C254" i="13" s="1"/>
  <c r="B255" i="13" l="1"/>
  <c r="C255" i="13" s="1"/>
  <c r="B256" i="13" l="1"/>
  <c r="C256" i="13" s="1"/>
  <c r="B257" i="13" l="1"/>
  <c r="C257" i="13" s="1"/>
  <c r="B258" i="13" l="1"/>
  <c r="C258" i="13" s="1"/>
  <c r="B259" i="13" l="1"/>
  <c r="C259" i="13" s="1"/>
  <c r="B260" i="13" l="1"/>
  <c r="C260" i="13" s="1"/>
  <c r="B261" i="13" l="1"/>
  <c r="C261" i="13" s="1"/>
  <c r="B262" i="13" l="1"/>
  <c r="C262" i="13" s="1"/>
  <c r="B263" i="13" l="1"/>
  <c r="C263" i="13" s="1"/>
  <c r="B264" i="13" l="1"/>
  <c r="C264" i="13" s="1"/>
  <c r="B265" i="13" l="1"/>
  <c r="C265" i="13" s="1"/>
  <c r="B266" i="13" l="1"/>
  <c r="C266" i="13" s="1"/>
  <c r="B267" i="13" l="1"/>
  <c r="C267" i="13" s="1"/>
  <c r="B268" i="13" l="1"/>
  <c r="C268" i="13" s="1"/>
  <c r="B269" i="13" l="1"/>
  <c r="C269" i="13" s="1"/>
  <c r="B270" i="13" l="1"/>
  <c r="C270" i="13" s="1"/>
  <c r="B271" i="13" l="1"/>
  <c r="C271" i="13" s="1"/>
  <c r="B272" i="13" l="1"/>
  <c r="C272" i="13" s="1"/>
  <c r="B273" i="13" l="1"/>
  <c r="C273" i="13" s="1"/>
  <c r="B274" i="13" l="1"/>
  <c r="C274" i="13" s="1"/>
  <c r="B275" i="13" l="1"/>
  <c r="C275" i="13" s="1"/>
  <c r="B276" i="13" l="1"/>
  <c r="C276" i="13" s="1"/>
  <c r="B277" i="13" l="1"/>
  <c r="C277" i="13" s="1"/>
  <c r="B278" i="13" l="1"/>
  <c r="C278" i="13" s="1"/>
  <c r="B279" i="13" l="1"/>
  <c r="C279" i="13" s="1"/>
  <c r="B280" i="13" l="1"/>
  <c r="C280" i="13" s="1"/>
  <c r="B281" i="13" l="1"/>
  <c r="C281" i="13" s="1"/>
  <c r="B282" i="13" l="1"/>
  <c r="C282" i="13" s="1"/>
  <c r="B283" i="13" l="1"/>
  <c r="C283" i="13" s="1"/>
  <c r="B284" i="13" l="1"/>
  <c r="C284" i="13" s="1"/>
  <c r="B285" i="13" l="1"/>
  <c r="C285" i="13" s="1"/>
  <c r="B286" i="13" l="1"/>
  <c r="C286" i="13" s="1"/>
  <c r="B287" i="13" l="1"/>
  <c r="C287" i="13" s="1"/>
  <c r="B288" i="13" l="1"/>
  <c r="C288" i="13" s="1"/>
  <c r="B289" i="13" l="1"/>
  <c r="C289" i="13" s="1"/>
  <c r="B290" i="13" l="1"/>
  <c r="C290" i="13" s="1"/>
  <c r="B291" i="13" l="1"/>
  <c r="C291" i="13" s="1"/>
  <c r="B292" i="13" l="1"/>
  <c r="C292" i="13" s="1"/>
  <c r="B293" i="13" l="1"/>
  <c r="C293" i="13" s="1"/>
  <c r="B294" i="13" l="1"/>
  <c r="C294" i="13" s="1"/>
  <c r="B295" i="13" l="1"/>
  <c r="C295" i="13" s="1"/>
  <c r="B296" i="13" l="1"/>
  <c r="C296" i="13" s="1"/>
  <c r="B297" i="13" l="1"/>
  <c r="C297" i="13" s="1"/>
  <c r="B298" i="13" l="1"/>
  <c r="C298" i="13" s="1"/>
  <c r="B299" i="13" l="1"/>
  <c r="C299" i="13" s="1"/>
  <c r="B300" i="13" l="1"/>
  <c r="C300" i="13" s="1"/>
  <c r="B301" i="13" l="1"/>
  <c r="C301" i="13" s="1"/>
  <c r="B302" i="13" l="1"/>
  <c r="C302" i="13" s="1"/>
  <c r="B303" i="13" l="1"/>
  <c r="C303" i="13" s="1"/>
  <c r="B304" i="13" l="1"/>
  <c r="C304" i="13" s="1"/>
  <c r="B305" i="13" l="1"/>
  <c r="C305" i="13" s="1"/>
  <c r="B306" i="13" l="1"/>
  <c r="C306" i="13" s="1"/>
  <c r="B307" i="13" l="1"/>
  <c r="C307" i="13" s="1"/>
  <c r="B308" i="13" l="1"/>
  <c r="C308" i="13" s="1"/>
  <c r="B309" i="13" l="1"/>
  <c r="C309" i="13" s="1"/>
  <c r="B310" i="13" l="1"/>
  <c r="C310" i="13" s="1"/>
  <c r="B311" i="13" l="1"/>
  <c r="C311" i="13" s="1"/>
  <c r="B312" i="13" l="1"/>
  <c r="C312" i="13" s="1"/>
  <c r="B313" i="13" l="1"/>
  <c r="C313" i="13" s="1"/>
  <c r="B314" i="13" l="1"/>
  <c r="C314" i="13" s="1"/>
  <c r="B315" i="13" l="1"/>
  <c r="C315" i="13" s="1"/>
  <c r="B316" i="13" l="1"/>
  <c r="C316" i="13" s="1"/>
  <c r="B317" i="13" l="1"/>
  <c r="C317" i="13" s="1"/>
  <c r="B318" i="13" l="1"/>
  <c r="C318" i="13" s="1"/>
  <c r="B319" i="13" l="1"/>
  <c r="C319" i="13" s="1"/>
  <c r="B320" i="13" l="1"/>
  <c r="C320" i="13" s="1"/>
  <c r="B321" i="13" l="1"/>
  <c r="C321" i="13" s="1"/>
  <c r="B322" i="13" l="1"/>
  <c r="C322" i="13" s="1"/>
  <c r="B323" i="13" l="1"/>
  <c r="C323" i="13" s="1"/>
  <c r="B324" i="13" l="1"/>
  <c r="C324" i="13" s="1"/>
  <c r="B325" i="13" l="1"/>
  <c r="C325" i="13" s="1"/>
  <c r="B326" i="13" l="1"/>
  <c r="C326" i="13" s="1"/>
  <c r="B327" i="13" l="1"/>
  <c r="C327" i="13" s="1"/>
  <c r="B328" i="13" l="1"/>
  <c r="C328" i="13" s="1"/>
  <c r="B329" i="13" l="1"/>
  <c r="C329" i="13" s="1"/>
  <c r="B330" i="13" l="1"/>
  <c r="C330" i="13" s="1"/>
  <c r="B331" i="13" l="1"/>
  <c r="C331" i="13" s="1"/>
  <c r="B332" i="13" l="1"/>
  <c r="C332" i="13" s="1"/>
  <c r="B333" i="13" l="1"/>
  <c r="C333" i="13" s="1"/>
  <c r="B334" i="13" l="1"/>
  <c r="C334" i="13" s="1"/>
  <c r="B335" i="13" l="1"/>
  <c r="C335" i="13" s="1"/>
  <c r="B336" i="13" l="1"/>
  <c r="C336" i="13" s="1"/>
  <c r="B337" i="13" l="1"/>
  <c r="C337" i="13" s="1"/>
  <c r="B338" i="13" l="1"/>
  <c r="C338" i="13" s="1"/>
  <c r="B339" i="13" l="1"/>
  <c r="C339" i="13" s="1"/>
  <c r="B340" i="13" l="1"/>
  <c r="C340" i="13" s="1"/>
  <c r="B341" i="13" l="1"/>
  <c r="C341" i="13" s="1"/>
  <c r="B342" i="13" l="1"/>
  <c r="C342" i="13" s="1"/>
  <c r="B343" i="13" l="1"/>
  <c r="C343" i="13" s="1"/>
  <c r="B344" i="13" l="1"/>
  <c r="C344" i="13" s="1"/>
  <c r="B345" i="13" l="1"/>
  <c r="C345" i="13" s="1"/>
  <c r="B346" i="13" l="1"/>
  <c r="C346" i="13" s="1"/>
  <c r="B347" i="13" l="1"/>
  <c r="C347" i="13" s="1"/>
  <c r="B348" i="13" l="1"/>
  <c r="C348" i="13" s="1"/>
  <c r="B349" i="13" l="1"/>
  <c r="C349" i="13" s="1"/>
  <c r="B350" i="13" l="1"/>
  <c r="C350" i="13" s="1"/>
  <c r="B351" i="13" l="1"/>
  <c r="C351" i="13" s="1"/>
  <c r="B352" i="13" l="1"/>
  <c r="C352" i="13" s="1"/>
  <c r="B353" i="13" l="1"/>
  <c r="C353" i="13" s="1"/>
  <c r="B354" i="13" l="1"/>
  <c r="C354" i="13" s="1"/>
  <c r="B355" i="13" l="1"/>
  <c r="C355" i="13" s="1"/>
  <c r="B356" i="13" l="1"/>
  <c r="C356" i="13" s="1"/>
  <c r="B357" i="13" l="1"/>
  <c r="C357" i="13" s="1"/>
  <c r="B358" i="13" l="1"/>
  <c r="C358" i="13" s="1"/>
  <c r="B359" i="13" l="1"/>
  <c r="C359" i="13" s="1"/>
  <c r="B360" i="13" l="1"/>
  <c r="C360" i="13" s="1"/>
  <c r="B361" i="13" l="1"/>
  <c r="C361" i="13" s="1"/>
  <c r="B362" i="13" l="1"/>
  <c r="C362" i="13" s="1"/>
  <c r="B363" i="13" l="1"/>
  <c r="C363" i="13" s="1"/>
  <c r="B364" i="13" l="1"/>
  <c r="C364" i="13" s="1"/>
  <c r="B365" i="13" l="1"/>
  <c r="C365" i="13" s="1"/>
  <c r="B366" i="13" l="1"/>
  <c r="C366" i="13" s="1"/>
  <c r="B367" i="13" l="1"/>
  <c r="C367" i="13" s="1"/>
  <c r="B368" i="13" l="1"/>
  <c r="C368" i="13" s="1"/>
  <c r="B369" i="13" l="1"/>
  <c r="C369" i="13" s="1"/>
  <c r="B370" i="13" l="1"/>
  <c r="C370" i="13" s="1"/>
  <c r="B371" i="13" l="1"/>
  <c r="C371" i="13" s="1"/>
  <c r="B372" i="13" l="1"/>
  <c r="C372" i="13" s="1"/>
  <c r="B373" i="13" l="1"/>
  <c r="C373" i="13" s="1"/>
  <c r="B374" i="13" l="1"/>
  <c r="C374" i="13" s="1"/>
  <c r="B375" i="13" l="1"/>
  <c r="C375" i="13" s="1"/>
  <c r="B376" i="13" l="1"/>
  <c r="C376" i="13" s="1"/>
  <c r="B377" i="13" l="1"/>
  <c r="C377" i="13" s="1"/>
  <c r="B378" i="13" l="1"/>
  <c r="C378" i="13" s="1"/>
  <c r="B379" i="13" l="1"/>
  <c r="C379" i="13" s="1"/>
  <c r="B380" i="13" l="1"/>
  <c r="C380" i="13" s="1"/>
  <c r="B381" i="13" l="1"/>
  <c r="C381" i="13" s="1"/>
  <c r="B382" i="13" l="1"/>
  <c r="C382" i="13" s="1"/>
  <c r="B383" i="13" l="1"/>
  <c r="C383" i="13" s="1"/>
  <c r="B384" i="13" l="1"/>
  <c r="C384" i="13" s="1"/>
  <c r="B385" i="13" l="1"/>
  <c r="C385" i="13" s="1"/>
  <c r="B386" i="13" l="1"/>
  <c r="C386" i="13" s="1"/>
  <c r="B387" i="13" l="1"/>
  <c r="C387" i="13" s="1"/>
  <c r="B388" i="13" l="1"/>
  <c r="C388" i="13" s="1"/>
  <c r="B389" i="13" l="1"/>
  <c r="C389" i="13" s="1"/>
  <c r="B390" i="13" l="1"/>
  <c r="C390" i="13" s="1"/>
  <c r="B391" i="13" l="1"/>
  <c r="C391" i="13" s="1"/>
  <c r="B392" i="13" l="1"/>
  <c r="C392" i="13" s="1"/>
  <c r="B393" i="13" l="1"/>
  <c r="C393" i="13" s="1"/>
  <c r="B394" i="13" l="1"/>
  <c r="C394" i="13" s="1"/>
  <c r="B395" i="13" l="1"/>
  <c r="C395" i="13" s="1"/>
  <c r="B396" i="13" l="1"/>
  <c r="C396" i="13" s="1"/>
  <c r="B397" i="13" l="1"/>
  <c r="C397" i="13" s="1"/>
  <c r="B398" i="13" l="1"/>
  <c r="C398" i="13" s="1"/>
  <c r="B399" i="13" l="1"/>
  <c r="C399" i="13" s="1"/>
  <c r="B400" i="13" l="1"/>
  <c r="C400" i="13" s="1"/>
  <c r="B401" i="13" l="1"/>
  <c r="C401" i="13" s="1"/>
  <c r="B402" i="13" l="1"/>
  <c r="C402" i="13" s="1"/>
  <c r="B403" i="13" l="1"/>
  <c r="C403" i="13" s="1"/>
  <c r="B404" i="13" l="1"/>
  <c r="C404" i="13" s="1"/>
  <c r="B405" i="13" l="1"/>
  <c r="C405" i="13" s="1"/>
  <c r="B406" i="13" l="1"/>
  <c r="C406" i="13" s="1"/>
  <c r="B407" i="13" l="1"/>
  <c r="C407" i="13" s="1"/>
  <c r="B408" i="13" l="1"/>
  <c r="C408" i="13" s="1"/>
  <c r="B409" i="13" l="1"/>
  <c r="C409" i="13" s="1"/>
  <c r="B410" i="13" l="1"/>
  <c r="C410" i="13" s="1"/>
  <c r="B411" i="13" l="1"/>
  <c r="C411" i="13" s="1"/>
  <c r="B412" i="13" l="1"/>
  <c r="C412" i="13" s="1"/>
  <c r="B413" i="13" l="1"/>
  <c r="C413" i="13" s="1"/>
  <c r="B414" i="13" l="1"/>
  <c r="C414" i="13" s="1"/>
  <c r="B415" i="13" l="1"/>
  <c r="C415" i="13" s="1"/>
  <c r="B416" i="13" l="1"/>
  <c r="C416" i="13" s="1"/>
  <c r="B417" i="13" l="1"/>
  <c r="C417" i="13" s="1"/>
  <c r="B418" i="13" l="1"/>
  <c r="C418" i="13" s="1"/>
  <c r="B419" i="13" l="1"/>
  <c r="C419" i="13" s="1"/>
  <c r="B420" i="13" l="1"/>
  <c r="C420" i="13" s="1"/>
  <c r="B421" i="13" l="1"/>
  <c r="C421" i="13" s="1"/>
  <c r="B422" i="13" l="1"/>
  <c r="C422" i="13" s="1"/>
  <c r="B423" i="13" l="1"/>
  <c r="C423" i="13" s="1"/>
  <c r="B424" i="13" l="1"/>
  <c r="C424" i="13" s="1"/>
  <c r="B425" i="13" l="1"/>
  <c r="C425" i="13" s="1"/>
  <c r="B426" i="13" l="1"/>
  <c r="C426" i="13" s="1"/>
  <c r="B427" i="13" l="1"/>
  <c r="C427" i="13" s="1"/>
  <c r="B428" i="13" l="1"/>
  <c r="C428" i="13" s="1"/>
  <c r="H2" i="13" l="1"/>
  <c r="H6" i="13" l="1"/>
  <c r="H7" i="13"/>
  <c r="H3" i="13"/>
  <c r="H5" i="13" l="1"/>
  <c r="H4" i="13"/>
  <c r="B8" i="2" l="1"/>
  <c r="C8" i="2" s="1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B9" i="2" l="1"/>
  <c r="C9" i="2" s="1"/>
  <c r="B10" i="2" l="1"/>
  <c r="C10" i="2" s="1"/>
  <c r="B11" i="2" l="1"/>
  <c r="C11" i="2" s="1"/>
  <c r="B12" i="2" l="1"/>
  <c r="C12" i="2" s="1"/>
  <c r="B13" i="2" l="1"/>
  <c r="C13" i="2" s="1"/>
  <c r="B14" i="2" l="1"/>
  <c r="C14" i="2" s="1"/>
  <c r="B15" i="2" l="1"/>
  <c r="C15" i="2" s="1"/>
  <c r="B16" i="2" l="1"/>
  <c r="C16" i="2" s="1"/>
  <c r="B17" i="2" l="1"/>
  <c r="C17" i="2" s="1"/>
  <c r="B18" i="2" l="1"/>
  <c r="C18" i="2" s="1"/>
  <c r="B19" i="2" l="1"/>
  <c r="C19" i="2" s="1"/>
  <c r="B20" i="2" l="1"/>
  <c r="C20" i="2" s="1"/>
  <c r="B21" i="2" l="1"/>
  <c r="C21" i="2" s="1"/>
  <c r="B22" i="2" l="1"/>
  <c r="C22" i="2" s="1"/>
  <c r="B23" i="2" l="1"/>
  <c r="C23" i="2" s="1"/>
  <c r="B24" i="2" l="1"/>
  <c r="C24" i="2" s="1"/>
  <c r="B25" i="2" l="1"/>
  <c r="C25" i="2" s="1"/>
  <c r="B26" i="2" l="1"/>
  <c r="C26" i="2" s="1"/>
  <c r="B27" i="2" l="1"/>
  <c r="C27" i="2" s="1"/>
  <c r="B28" i="2" l="1"/>
  <c r="C28" i="2" s="1"/>
  <c r="B29" i="2" l="1"/>
  <c r="C29" i="2" s="1"/>
  <c r="B30" i="2" l="1"/>
  <c r="C30" i="2" s="1"/>
  <c r="B31" i="2" l="1"/>
  <c r="C31" i="2" s="1"/>
  <c r="B32" i="2" l="1"/>
  <c r="C32" i="2" s="1"/>
  <c r="B33" i="2" l="1"/>
  <c r="C33" i="2" s="1"/>
  <c r="B34" i="2" l="1"/>
  <c r="C34" i="2" s="1"/>
  <c r="B35" i="2" l="1"/>
  <c r="C35" i="2" s="1"/>
  <c r="B36" i="2" l="1"/>
  <c r="C36" i="2" s="1"/>
  <c r="B37" i="2" l="1"/>
  <c r="C37" i="2" s="1"/>
  <c r="B38" i="2" l="1"/>
  <c r="C38" i="2" s="1"/>
  <c r="B39" i="2" l="1"/>
  <c r="C39" i="2" s="1"/>
  <c r="B40" i="2" l="1"/>
  <c r="C40" i="2" s="1"/>
  <c r="B41" i="2" l="1"/>
  <c r="C41" i="2" s="1"/>
  <c r="B42" i="2" l="1"/>
  <c r="C42" i="2" s="1"/>
  <c r="B43" i="2" l="1"/>
  <c r="C43" i="2" s="1"/>
  <c r="B44" i="2" l="1"/>
  <c r="C44" i="2" s="1"/>
  <c r="B45" i="2" l="1"/>
  <c r="C45" i="2" s="1"/>
  <c r="B46" i="2" l="1"/>
  <c r="C46" i="2" s="1"/>
  <c r="B47" i="2" l="1"/>
  <c r="C47" i="2" s="1"/>
  <c r="B48" i="2" l="1"/>
  <c r="C48" i="2" s="1"/>
  <c r="B49" i="2" l="1"/>
  <c r="C49" i="2" s="1"/>
  <c r="B50" i="2" l="1"/>
  <c r="C50" i="2" s="1"/>
  <c r="B51" i="2" l="1"/>
  <c r="C51" i="2" s="1"/>
  <c r="B52" i="2" l="1"/>
  <c r="C52" i="2" s="1"/>
  <c r="B53" i="2" l="1"/>
  <c r="C53" i="2" s="1"/>
  <c r="B54" i="2" l="1"/>
  <c r="C54" i="2" s="1"/>
  <c r="B55" i="2" l="1"/>
  <c r="C55" i="2" s="1"/>
  <c r="B56" i="2" l="1"/>
  <c r="C56" i="2" s="1"/>
  <c r="B57" i="2" l="1"/>
  <c r="C57" i="2" s="1"/>
  <c r="B58" i="2" l="1"/>
  <c r="C58" i="2" s="1"/>
  <c r="B59" i="2" l="1"/>
  <c r="C59" i="2" s="1"/>
  <c r="B60" i="2" l="1"/>
  <c r="C60" i="2" s="1"/>
  <c r="B61" i="2" l="1"/>
  <c r="C61" i="2" s="1"/>
  <c r="B62" i="2" l="1"/>
  <c r="C62" i="2" s="1"/>
  <c r="B63" i="2" l="1"/>
  <c r="C63" i="2" s="1"/>
  <c r="B64" i="2" l="1"/>
  <c r="C64" i="2" s="1"/>
  <c r="B65" i="2" l="1"/>
  <c r="C65" i="2" s="1"/>
  <c r="B66" i="2" l="1"/>
  <c r="C66" i="2" s="1"/>
  <c r="B67" i="2" l="1"/>
  <c r="C67" i="2" s="1"/>
  <c r="B68" i="2" l="1"/>
  <c r="C68" i="2" s="1"/>
  <c r="B69" i="2" l="1"/>
  <c r="C69" i="2" s="1"/>
  <c r="B70" i="2" l="1"/>
  <c r="C70" i="2" s="1"/>
  <c r="B71" i="2" l="1"/>
  <c r="C71" i="2" s="1"/>
  <c r="B72" i="2" l="1"/>
  <c r="C72" i="2" s="1"/>
  <c r="B73" i="2" l="1"/>
  <c r="C73" i="2" s="1"/>
  <c r="B74" i="2" l="1"/>
  <c r="C74" i="2" s="1"/>
  <c r="B75" i="2" l="1"/>
  <c r="C75" i="2" s="1"/>
  <c r="B76" i="2" l="1"/>
  <c r="C76" i="2" s="1"/>
  <c r="B77" i="2" l="1"/>
  <c r="C77" i="2" s="1"/>
  <c r="B78" i="2" l="1"/>
  <c r="C78" i="2" s="1"/>
  <c r="B79" i="2" l="1"/>
  <c r="C79" i="2" s="1"/>
  <c r="B80" i="2" l="1"/>
  <c r="C80" i="2" s="1"/>
  <c r="B81" i="2" l="1"/>
  <c r="C81" i="2" s="1"/>
  <c r="B82" i="2" l="1"/>
  <c r="C82" i="2" s="1"/>
  <c r="B83" i="2" l="1"/>
  <c r="C83" i="2" s="1"/>
  <c r="B84" i="2" l="1"/>
  <c r="C84" i="2" s="1"/>
  <c r="B85" i="2" l="1"/>
  <c r="C85" i="2" s="1"/>
  <c r="B86" i="2" l="1"/>
  <c r="C86" i="2" s="1"/>
  <c r="B87" i="2" l="1"/>
  <c r="C87" i="2" s="1"/>
  <c r="B88" i="2" l="1"/>
  <c r="C88" i="2" s="1"/>
  <c r="B89" i="2" l="1"/>
  <c r="C89" i="2" s="1"/>
  <c r="B90" i="2" l="1"/>
  <c r="C90" i="2" s="1"/>
  <c r="B91" i="2" l="1"/>
  <c r="C91" i="2" s="1"/>
  <c r="B92" i="2" l="1"/>
  <c r="C92" i="2" s="1"/>
  <c r="B93" i="2" l="1"/>
  <c r="C93" i="2" s="1"/>
  <c r="B94" i="2" l="1"/>
  <c r="C94" i="2" s="1"/>
  <c r="B95" i="2" l="1"/>
  <c r="C95" i="2" s="1"/>
  <c r="B96" i="2" l="1"/>
  <c r="C96" i="2" s="1"/>
  <c r="B97" i="2" l="1"/>
  <c r="C97" i="2" s="1"/>
  <c r="B98" i="2" l="1"/>
  <c r="C98" i="2" s="1"/>
  <c r="B99" i="2" l="1"/>
  <c r="C99" i="2" s="1"/>
  <c r="B100" i="2" l="1"/>
  <c r="C100" i="2" s="1"/>
  <c r="B101" i="2" l="1"/>
  <c r="C101" i="2" s="1"/>
  <c r="B102" i="2" l="1"/>
  <c r="C102" i="2" s="1"/>
  <c r="B103" i="2" l="1"/>
  <c r="C103" i="2" s="1"/>
  <c r="B104" i="2" l="1"/>
  <c r="C104" i="2" s="1"/>
  <c r="B105" i="2" l="1"/>
  <c r="C105" i="2" s="1"/>
  <c r="B106" i="2" l="1"/>
  <c r="C106" i="2" s="1"/>
  <c r="B107" i="2" l="1"/>
  <c r="C107" i="2" s="1"/>
  <c r="B108" i="2" l="1"/>
  <c r="C108" i="2" s="1"/>
  <c r="B109" i="2" l="1"/>
  <c r="C109" i="2" s="1"/>
  <c r="B110" i="2" l="1"/>
  <c r="C110" i="2" s="1"/>
  <c r="B111" i="2" l="1"/>
  <c r="C111" i="2" s="1"/>
  <c r="B112" i="2" l="1"/>
  <c r="C112" i="2" s="1"/>
  <c r="B113" i="2" l="1"/>
  <c r="C113" i="2" s="1"/>
  <c r="B114" i="2" l="1"/>
  <c r="C114" i="2" s="1"/>
  <c r="B115" i="2" l="1"/>
  <c r="C115" i="2" s="1"/>
  <c r="B116" i="2" l="1"/>
  <c r="C116" i="2" s="1"/>
  <c r="B117" i="2" l="1"/>
  <c r="C117" i="2" s="1"/>
  <c r="B118" i="2" l="1"/>
  <c r="C118" i="2" s="1"/>
  <c r="B119" i="2" l="1"/>
  <c r="C119" i="2" s="1"/>
  <c r="B120" i="2" l="1"/>
  <c r="C120" i="2" s="1"/>
  <c r="B121" i="2" l="1"/>
  <c r="C121" i="2" s="1"/>
  <c r="B122" i="2" l="1"/>
  <c r="C122" i="2" s="1"/>
  <c r="B123" i="2" l="1"/>
  <c r="C123" i="2" s="1"/>
  <c r="B124" i="2" l="1"/>
  <c r="C124" i="2" s="1"/>
  <c r="B125" i="2" l="1"/>
  <c r="C125" i="2" s="1"/>
  <c r="B126" i="2" l="1"/>
  <c r="C126" i="2" s="1"/>
  <c r="B127" i="2" l="1"/>
  <c r="C127" i="2" s="1"/>
  <c r="B128" i="2" l="1"/>
  <c r="C128" i="2" s="1"/>
  <c r="B129" i="2" l="1"/>
  <c r="C129" i="2" s="1"/>
  <c r="B130" i="2" l="1"/>
  <c r="C130" i="2" s="1"/>
  <c r="B131" i="2" l="1"/>
  <c r="C131" i="2" s="1"/>
  <c r="B132" i="2" l="1"/>
  <c r="C132" i="2" s="1"/>
  <c r="B133" i="2" l="1"/>
  <c r="C133" i="2" s="1"/>
  <c r="B134" i="2" l="1"/>
  <c r="C134" i="2" s="1"/>
  <c r="B135" i="2" l="1"/>
  <c r="C135" i="2" s="1"/>
  <c r="B136" i="2" l="1"/>
  <c r="C136" i="2" s="1"/>
  <c r="B137" i="2" l="1"/>
  <c r="C137" i="2" s="1"/>
  <c r="B138" i="2" l="1"/>
  <c r="C138" i="2" s="1"/>
  <c r="B139" i="2" l="1"/>
  <c r="C139" i="2" s="1"/>
  <c r="B140" i="2" l="1"/>
  <c r="C140" i="2" s="1"/>
  <c r="B141" i="2" l="1"/>
  <c r="C141" i="2" s="1"/>
  <c r="B142" i="2" l="1"/>
  <c r="C142" i="2" s="1"/>
  <c r="B143" i="2" l="1"/>
  <c r="C143" i="2" s="1"/>
  <c r="B144" i="2" l="1"/>
  <c r="C144" i="2" s="1"/>
  <c r="B145" i="2" l="1"/>
  <c r="C145" i="2" s="1"/>
  <c r="B146" i="2" l="1"/>
  <c r="C146" i="2" s="1"/>
  <c r="B147" i="2" l="1"/>
  <c r="C147" i="2" s="1"/>
  <c r="B148" i="2" l="1"/>
  <c r="C148" i="2" s="1"/>
  <c r="F2" i="2" l="1"/>
  <c r="F3" i="2" s="1"/>
  <c r="F4" i="2" s="1"/>
  <c r="F7" i="2" l="1"/>
  <c r="F6" i="2"/>
  <c r="F5" i="2"/>
  <c r="E44" i="19" l="1"/>
  <c r="N44" i="19" l="1"/>
  <c r="N47" i="19"/>
  <c r="E47" i="19" l="1"/>
  <c r="L45" i="19"/>
  <c r="E45" i="19" l="1"/>
  <c r="L67" i="19"/>
  <c r="E67" i="19" s="1"/>
  <c r="N45" i="19"/>
  <c r="N67" i="19" l="1"/>
  <c r="AA71" i="11"/>
  <c r="AA94" i="11" s="1"/>
  <c r="S78" i="11"/>
  <c r="AJ71" i="11" l="1"/>
  <c r="AB78" i="11"/>
  <c r="AJ90" i="11" l="1"/>
  <c r="AK76" i="11"/>
  <c r="C7" i="16" s="1"/>
  <c r="H7" i="16" s="1"/>
  <c r="K8" i="16" l="1"/>
  <c r="K7" i="16"/>
  <c r="I7" i="16"/>
  <c r="J7" i="16" l="1"/>
  <c r="J8" i="16"/>
</calcChain>
</file>

<file path=xl/connections.xml><?xml version="1.0" encoding="utf-8"?>
<connections xmlns="http://schemas.openxmlformats.org/spreadsheetml/2006/main">
  <connection id="1" odcFile="C:\Program Files (x86)\Microsoft Office\Office14\QUERIES\MSN MoneyCentral Investor Stock Quotes.iqy" name="MSN MoneyCentral Investor Stock Quotes" description="US: CHK; US: BP; " type="4" refreshedVersion="4" background="1" refreshOnLoad="1" saveData="1">
    <webPr parsePre="1" consecutive="1" xl2000="1" url="http://moneycentral.msn.com/investor/external/excel/quotes.asp?SYMBOL=[&quot;QUOTE&quot;,&quot;Enter stock, fund or other MSN MoneyCentral Investor symbols separated by commas.&quot;]" htmlFormat="all"/>
    <parameters count="1">
      <parameter name="QUOTE" parameterType="value" string="CHK"/>
    </parameters>
  </connection>
</connections>
</file>

<file path=xl/sharedStrings.xml><?xml version="1.0" encoding="utf-8"?>
<sst xmlns="http://schemas.openxmlformats.org/spreadsheetml/2006/main" count="1414" uniqueCount="291">
  <si>
    <t>DFS</t>
  </si>
  <si>
    <t>HSY</t>
  </si>
  <si>
    <t>IEP</t>
  </si>
  <si>
    <t>ITOT</t>
  </si>
  <si>
    <t>SU</t>
  </si>
  <si>
    <t>WFC</t>
  </si>
  <si>
    <t>WM</t>
  </si>
  <si>
    <t>IBA</t>
  </si>
  <si>
    <t>IRA</t>
  </si>
  <si>
    <t>GM</t>
  </si>
  <si>
    <t>IJS</t>
  </si>
  <si>
    <t>INTC</t>
  </si>
  <si>
    <t>KRFT</t>
  </si>
  <si>
    <t>MSFT</t>
  </si>
  <si>
    <t>PEP</t>
  </si>
  <si>
    <t>Time</t>
  </si>
  <si>
    <t>Shares</t>
  </si>
  <si>
    <t>Shares (Now)</t>
  </si>
  <si>
    <t>Shares (35 years)</t>
  </si>
  <si>
    <t>Annual Yield (now)</t>
  </si>
  <si>
    <t>Annual Yield (35 years)</t>
  </si>
  <si>
    <t>Dividend/Investment Now ($/$)</t>
  </si>
  <si>
    <t>Dividend/Investment Future ($/$)</t>
  </si>
  <si>
    <t>Dividend</t>
  </si>
  <si>
    <t>Shares Owned</t>
  </si>
  <si>
    <t>Dividend Yield</t>
  </si>
  <si>
    <t xml:space="preserve">Share Price </t>
  </si>
  <si>
    <t>Inputs</t>
  </si>
  <si>
    <t>Outputs after 35 years</t>
  </si>
  <si>
    <t>Investment</t>
  </si>
  <si>
    <t>Dividends per quarter</t>
  </si>
  <si>
    <t>Dividends per year</t>
  </si>
  <si>
    <t xml:space="preserve">*assumes constant share price, basically assuming the company doesn't go bankrupt. </t>
  </si>
  <si>
    <t>401k</t>
  </si>
  <si>
    <t>Investment (35 years)</t>
  </si>
  <si>
    <t>IBA Total Return</t>
  </si>
  <si>
    <t>IRA Total Return</t>
  </si>
  <si>
    <t>IBA Annualized Return</t>
  </si>
  <si>
    <t>IRA Annualized Return</t>
  </si>
  <si>
    <t>Price/Share (now)</t>
  </si>
  <si>
    <t>Shares (original)</t>
  </si>
  <si>
    <t>Return Now</t>
  </si>
  <si>
    <t>Expected Returns</t>
  </si>
  <si>
    <t xml:space="preserve">Total Return </t>
  </si>
  <si>
    <t>Annualized Return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</si>
  <si>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</si>
  <si>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</si>
  <si>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</si>
  <si>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</si>
  <si>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</si>
  <si>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</si>
  <si>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</si>
  <si>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</si>
  <si>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</si>
  <si>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</si>
  <si>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</si>
  <si>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</si>
  <si>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Roth IRA</t>
  </si>
  <si>
    <t>Computershares</t>
  </si>
  <si>
    <t>Computer Shares</t>
  </si>
  <si>
    <t>MO</t>
  </si>
  <si>
    <t>CLX</t>
  </si>
  <si>
    <t>VZ</t>
  </si>
  <si>
    <t>Computershares Total Return</t>
  </si>
  <si>
    <t>WTR</t>
  </si>
  <si>
    <t>Total</t>
  </si>
  <si>
    <t>PG</t>
  </si>
  <si>
    <t>UNP</t>
  </si>
  <si>
    <t>PFF</t>
  </si>
  <si>
    <t>Future Yearly Dividends</t>
  </si>
  <si>
    <t>Yearly Dividends (w/401k)</t>
  </si>
  <si>
    <t>Future Yearly (w/o 401k)</t>
  </si>
  <si>
    <t>To make a million a year</t>
  </si>
  <si>
    <t>IJJ</t>
  </si>
  <si>
    <t>Yearly Dividends 
(no retirement)</t>
  </si>
  <si>
    <t>INTL Equity</t>
  </si>
  <si>
    <t>SP500</t>
  </si>
  <si>
    <t>RUSSELl 2000</t>
  </si>
  <si>
    <t>US TIPS</t>
  </si>
  <si>
    <t>Emerging Markets</t>
  </si>
  <si>
    <t>BP</t>
  </si>
  <si>
    <t>% of 401k</t>
  </si>
  <si>
    <t>401k dividend</t>
  </si>
  <si>
    <t>GE</t>
  </si>
  <si>
    <t>MCD</t>
  </si>
  <si>
    <t>IBM</t>
  </si>
  <si>
    <t>O</t>
  </si>
  <si>
    <t>SYF</t>
  </si>
  <si>
    <t>FB</t>
  </si>
  <si>
    <t>Portfolio Value (35 years)</t>
  </si>
  <si>
    <t>Amount</t>
  </si>
  <si>
    <t>PBR</t>
  </si>
  <si>
    <t>BRKB</t>
  </si>
  <si>
    <t>Dividends per month</t>
  </si>
  <si>
    <t>Share of Company</t>
  </si>
  <si>
    <t>Outstanding Shares</t>
  </si>
  <si>
    <t>-</t>
  </si>
  <si>
    <t>KMI</t>
  </si>
  <si>
    <t>PM</t>
  </si>
  <si>
    <t>SDRL</t>
  </si>
  <si>
    <t>BBL</t>
  </si>
  <si>
    <t>Yield on Cost</t>
  </si>
  <si>
    <t>BLK</t>
  </si>
  <si>
    <t>FENY</t>
  </si>
  <si>
    <t>AXP</t>
  </si>
  <si>
    <t>Share Value Package</t>
  </si>
  <si>
    <t>Growth</t>
  </si>
  <si>
    <t>CHK</t>
  </si>
  <si>
    <t>USO</t>
  </si>
  <si>
    <t>AIG</t>
  </si>
  <si>
    <t>COST</t>
  </si>
  <si>
    <t>IVV</t>
  </si>
  <si>
    <t>ABBV</t>
  </si>
  <si>
    <t>DPS</t>
  </si>
  <si>
    <t>DIS</t>
  </si>
  <si>
    <t>American Express</t>
  </si>
  <si>
    <t>FNCL</t>
  </si>
  <si>
    <t>Equity Index Growth</t>
  </si>
  <si>
    <t>Equity Index Value</t>
  </si>
  <si>
    <t>SWKS</t>
  </si>
  <si>
    <t>Dividend Growth?</t>
  </si>
  <si>
    <t>Dividend Growth</t>
  </si>
  <si>
    <t>Shares/Qtr</t>
  </si>
  <si>
    <t>South32</t>
  </si>
  <si>
    <t>STAG</t>
  </si>
  <si>
    <t>JNJ</t>
  </si>
  <si>
    <t>Shareholder Services</t>
  </si>
  <si>
    <t>XOM</t>
  </si>
  <si>
    <t>Company name</t>
  </si>
  <si>
    <t>Verizon</t>
  </si>
  <si>
    <t>Aqua America</t>
  </si>
  <si>
    <t>Altria Group</t>
  </si>
  <si>
    <t>Realty Income Corp</t>
  </si>
  <si>
    <t>General Electric</t>
  </si>
  <si>
    <t>Kinder Morgan</t>
  </si>
  <si>
    <t>Year</t>
  </si>
  <si>
    <t>SVP</t>
  </si>
  <si>
    <t>% Change</t>
  </si>
  <si>
    <t>Account Values</t>
  </si>
  <si>
    <t xml:space="preserve">IBA </t>
  </si>
  <si>
    <t>ComputerShare</t>
  </si>
  <si>
    <t>Dividends Received</t>
  </si>
  <si>
    <t>Individual Account</t>
  </si>
  <si>
    <t>Not Listed</t>
  </si>
  <si>
    <t>Individual Brokerage Account</t>
  </si>
  <si>
    <t>Company Ticker</t>
  </si>
  <si>
    <t>Chesapeake Energy</t>
  </si>
  <si>
    <t>Hershey</t>
  </si>
  <si>
    <t>Icahn Enterprises</t>
  </si>
  <si>
    <t>Johnson and Johnson</t>
  </si>
  <si>
    <t>STAG Industries</t>
  </si>
  <si>
    <t>Suncor Energy</t>
  </si>
  <si>
    <t>Skyworks Solutions</t>
  </si>
  <si>
    <t>Union Pacific</t>
  </si>
  <si>
    <t>Wells Fargo</t>
  </si>
  <si>
    <t>Individual Retirement Account (IRA)</t>
  </si>
  <si>
    <t>American Insurance Group</t>
  </si>
  <si>
    <t>BHP Billiton</t>
  </si>
  <si>
    <t>Costco</t>
  </si>
  <si>
    <t>Disney</t>
  </si>
  <si>
    <t>iShares Finance Sector Index</t>
  </si>
  <si>
    <t>General Motors</t>
  </si>
  <si>
    <t>iShares S&amp;P500 Index</t>
  </si>
  <si>
    <t>Abbvie</t>
  </si>
  <si>
    <t>Dr. Pepper Snapple Co.</t>
  </si>
  <si>
    <t>Exxon Mobil</t>
  </si>
  <si>
    <t>International Business Machines</t>
  </si>
  <si>
    <t>McDonald's</t>
  </si>
  <si>
    <t>Philip Morris</t>
  </si>
  <si>
    <t>Clorox</t>
  </si>
  <si>
    <t>Proctor and Gamble</t>
  </si>
  <si>
    <t>Cost Basis</t>
  </si>
  <si>
    <t>Cost Basis/Share</t>
  </si>
  <si>
    <t>Value</t>
  </si>
  <si>
    <t>Payout ($)/Share</t>
  </si>
  <si>
    <t>Forward Annual Payout</t>
  </si>
  <si>
    <t>Shareowner</t>
  </si>
  <si>
    <t>Waste Management</t>
  </si>
  <si>
    <t>GIS</t>
  </si>
  <si>
    <t>General Mills, Inc.</t>
  </si>
  <si>
    <t>MKC</t>
  </si>
  <si>
    <t>McCormick &amp; Company</t>
  </si>
  <si>
    <t>Cash</t>
  </si>
  <si>
    <t>AT&amp;T</t>
  </si>
  <si>
    <t>T</t>
  </si>
  <si>
    <t>STWD</t>
  </si>
  <si>
    <t>Starwood Property Trust</t>
  </si>
  <si>
    <t>SDLP</t>
  </si>
  <si>
    <t>Seadrill Partners</t>
  </si>
  <si>
    <t>Visa</t>
  </si>
  <si>
    <t>V</t>
  </si>
  <si>
    <t>FSLR</t>
  </si>
  <si>
    <t>First Solar</t>
  </si>
  <si>
    <t>Main Street Capital</t>
  </si>
  <si>
    <t>SUM</t>
  </si>
  <si>
    <t>MAIN</t>
  </si>
  <si>
    <t>PSX</t>
  </si>
  <si>
    <t>Phillips 66</t>
  </si>
  <si>
    <t>Yearly Dividends 
(w/ IRA)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</si>
  <si>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</si>
  <si>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FREL</t>
  </si>
  <si>
    <t>Fidelity Real Estate</t>
  </si>
  <si>
    <t>2015 ^</t>
  </si>
  <si>
    <t>2016 ^</t>
  </si>
  <si>
    <t>$/mo</t>
  </si>
  <si>
    <t>High</t>
  </si>
  <si>
    <t>Low</t>
  </si>
  <si>
    <t>Fibonacci Strategy</t>
  </si>
  <si>
    <t xml:space="preserve">Ticker: </t>
  </si>
  <si>
    <t>Delta</t>
  </si>
  <si>
    <t>Retracements</t>
  </si>
  <si>
    <t>Extensions</t>
  </si>
  <si>
    <t>SOUHY</t>
  </si>
  <si>
    <t>Kmi</t>
  </si>
  <si>
    <t>d$</t>
  </si>
  <si>
    <t>swks</t>
  </si>
  <si>
    <t>Retirement Calculator</t>
  </si>
  <si>
    <t>Total Portfolio</t>
  </si>
  <si>
    <t>Portfolio Yield</t>
  </si>
  <si>
    <t>Dividends (year)</t>
  </si>
  <si>
    <t>Dividends (monthly)</t>
  </si>
  <si>
    <t>Total Monthly estimate</t>
  </si>
  <si>
    <t>Total Yearly Estimate</t>
  </si>
  <si>
    <t>Expenses</t>
  </si>
  <si>
    <t>Needed to Retire</t>
  </si>
  <si>
    <t>Age Now</t>
  </si>
  <si>
    <t>Age at ER</t>
  </si>
  <si>
    <t>Portfolio Value</t>
  </si>
  <si>
    <t>YE Value</t>
  </si>
  <si>
    <t>Return</t>
  </si>
  <si>
    <t>Salary</t>
  </si>
  <si>
    <t>Salary Contribution</t>
  </si>
  <si>
    <t>401k Contribution</t>
  </si>
  <si>
    <t>Salary Growth</t>
  </si>
  <si>
    <t>401K</t>
  </si>
  <si>
    <t>Back-Door Contr.</t>
  </si>
  <si>
    <t>Additional</t>
  </si>
  <si>
    <t>Additional Contributions</t>
  </si>
  <si>
    <t>Retire?</t>
  </si>
  <si>
    <t>AGE</t>
  </si>
  <si>
    <t>Total Contribution</t>
  </si>
  <si>
    <t>Yrs to Retirement</t>
  </si>
  <si>
    <t>Withdrawal Rate</t>
  </si>
  <si>
    <t>% Withdrawal</t>
  </si>
  <si>
    <t>monthly withdrawl</t>
  </si>
  <si>
    <t>Yearly Withdrawl retirement</t>
  </si>
  <si>
    <t>Monthly Withdrawal</t>
  </si>
  <si>
    <t>Yrly Dividends</t>
  </si>
  <si>
    <t>Monthly Dividends</t>
  </si>
  <si>
    <t>Yearly Potential</t>
  </si>
  <si>
    <t>CONE</t>
  </si>
  <si>
    <t>Cyrus One</t>
  </si>
  <si>
    <t>WPC</t>
  </si>
  <si>
    <t>W.P. Carey</t>
  </si>
  <si>
    <t>Cone</t>
  </si>
  <si>
    <t>2017 ^</t>
  </si>
  <si>
    <t>2018 ^</t>
  </si>
  <si>
    <t>Yearly Totals</t>
  </si>
  <si>
    <t>RDSB</t>
  </si>
  <si>
    <t>Royal Dutch Shell</t>
  </si>
  <si>
    <t>RDS.B</t>
  </si>
  <si>
    <t>Sector</t>
  </si>
  <si>
    <t>% of Portfolio</t>
  </si>
  <si>
    <t>Consumer Discretionary</t>
  </si>
  <si>
    <t>Consumer Staples</t>
  </si>
  <si>
    <t>Energy</t>
  </si>
  <si>
    <t>Financials</t>
  </si>
  <si>
    <t>Health Care</t>
  </si>
  <si>
    <t>Industrials</t>
  </si>
  <si>
    <t>Information Technology</t>
  </si>
  <si>
    <t>Materials</t>
  </si>
  <si>
    <t>Telecommunication Services</t>
  </si>
  <si>
    <t>Utilities</t>
  </si>
  <si>
    <t>Industrial</t>
  </si>
  <si>
    <t>Real Estate</t>
  </si>
  <si>
    <t>Income by sector</t>
  </si>
  <si>
    <t>% Income by Sector</t>
  </si>
  <si>
    <t>% Of Portfolio</t>
  </si>
  <si>
    <t>SQ</t>
  </si>
  <si>
    <t>Square Inc</t>
  </si>
  <si>
    <t>Technology</t>
  </si>
  <si>
    <t>LLEX</t>
  </si>
  <si>
    <t>Lilis Energy</t>
  </si>
  <si>
    <t>Square inc</t>
  </si>
  <si>
    <t>Total Port</t>
  </si>
  <si>
    <t>non-401k</t>
  </si>
  <si>
    <t>check</t>
  </si>
  <si>
    <t>P/E</t>
  </si>
  <si>
    <t>Historical P/E</t>
  </si>
  <si>
    <t>% Value</t>
  </si>
  <si>
    <t>RDSA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</si>
</sst>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0.000000000%"/>
    <numFmt numFmtId="166" formatCode="0.000%"/>
    <numFmt numFmtId="167" formatCode="0.0000"/>
    <numFmt numFmtId="168" formatCode="0.000"/>
    <numFmt numFmtId="169" formatCode="0.0%"/>
    <numFmt numFmtId="170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5">
    <xf numFmtId="0" fontId="0" fillId="0" borderId="0" xfId="0"/>
    <xf numFmtId="9" fontId="0" fillId="0" borderId="0" xfId="2" applyFont="1"/>
    <xf numFmtId="44" fontId="0" fillId="0" borderId="0" xfId="1" applyFont="1"/>
    <xf numFmtId="44" fontId="0" fillId="0" borderId="0" xfId="0" applyNumberFormat="1"/>
    <xf numFmtId="10" fontId="0" fillId="0" borderId="0" xfId="2" applyNumberFormat="1" applyFont="1"/>
    <xf numFmtId="0" fontId="0" fillId="0" borderId="0" xfId="0" applyAlignment="1">
      <alignment horizontal="left"/>
    </xf>
    <xf numFmtId="0" fontId="0" fillId="0" borderId="0" xfId="0" applyNumberFormat="1"/>
    <xf numFmtId="0" fontId="0" fillId="5" borderId="0" xfId="0" applyFill="1"/>
    <xf numFmtId="0" fontId="0" fillId="5" borderId="1" xfId="0" applyFill="1" applyBorder="1"/>
    <xf numFmtId="44" fontId="0" fillId="5" borderId="1" xfId="1" applyFont="1" applyFill="1" applyBorder="1"/>
    <xf numFmtId="0" fontId="0" fillId="5" borderId="0" xfId="0" applyFill="1" applyBorder="1"/>
    <xf numFmtId="44" fontId="0" fillId="5" borderId="0" xfId="1" applyFont="1" applyFill="1" applyBorder="1"/>
    <xf numFmtId="0" fontId="0" fillId="8" borderId="1" xfId="0" applyFill="1" applyBorder="1"/>
    <xf numFmtId="44" fontId="0" fillId="8" borderId="1" xfId="1" applyFont="1" applyFill="1" applyBorder="1"/>
    <xf numFmtId="0" fontId="0" fillId="5" borderId="11" xfId="0" applyFill="1" applyBorder="1"/>
    <xf numFmtId="44" fontId="0" fillId="5" borderId="11" xfId="1" applyFont="1" applyFill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9" fontId="0" fillId="0" borderId="0" xfId="2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0" fontId="0" fillId="0" borderId="1" xfId="2" applyNumberFormat="1" applyFont="1" applyFill="1" applyBorder="1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44" fontId="0" fillId="0" borderId="0" xfId="0" applyNumberFormat="1" applyFill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 wrapText="1"/>
    </xf>
    <xf numFmtId="0" fontId="0" fillId="6" borderId="9" xfId="0" applyFill="1" applyBorder="1" applyAlignment="1">
      <alignment horizontal="center" vertical="center"/>
    </xf>
    <xf numFmtId="166" fontId="0" fillId="0" borderId="0" xfId="2" applyNumberFormat="1" applyFont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167" fontId="0" fillId="0" borderId="1" xfId="0" applyNumberForma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168" fontId="0" fillId="0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4" fontId="0" fillId="2" borderId="0" xfId="1" applyFont="1" applyFill="1" applyAlignment="1">
      <alignment horizontal="center" vertical="center"/>
    </xf>
    <xf numFmtId="167" fontId="0" fillId="0" borderId="0" xfId="0" applyNumberFormat="1" applyFill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0" fontId="0" fillId="0" borderId="13" xfId="2" applyNumberFormat="1" applyFont="1" applyFill="1" applyBorder="1" applyAlignment="1">
      <alignment horizontal="center" vertical="center"/>
    </xf>
    <xf numFmtId="44" fontId="0" fillId="0" borderId="13" xfId="1" applyFont="1" applyBorder="1" applyAlignment="1">
      <alignment horizontal="center" vertical="center"/>
    </xf>
    <xf numFmtId="0" fontId="2" fillId="4" borderId="13" xfId="1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44" fontId="0" fillId="4" borderId="13" xfId="1" applyFont="1" applyFill="1" applyBorder="1" applyAlignment="1">
      <alignment horizontal="center" vertical="center"/>
    </xf>
    <xf numFmtId="44" fontId="0" fillId="2" borderId="13" xfId="1" applyFont="1" applyFill="1" applyBorder="1" applyAlignment="1">
      <alignment horizontal="center" vertical="center"/>
    </xf>
    <xf numFmtId="44" fontId="0" fillId="0" borderId="13" xfId="0" applyNumberFormat="1" applyFill="1" applyBorder="1" applyAlignment="1">
      <alignment horizontal="center" vertical="center"/>
    </xf>
    <xf numFmtId="10" fontId="0" fillId="0" borderId="13" xfId="2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0" fontId="0" fillId="0" borderId="11" xfId="2" applyNumberFormat="1" applyFont="1" applyFill="1" applyBorder="1" applyAlignment="1">
      <alignment horizontal="center" vertical="center"/>
    </xf>
    <xf numFmtId="44" fontId="0" fillId="2" borderId="11" xfId="1" applyFont="1" applyFill="1" applyBorder="1" applyAlignment="1">
      <alignment horizontal="center" vertical="center"/>
    </xf>
    <xf numFmtId="0" fontId="2" fillId="0" borderId="11" xfId="1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67" fontId="0" fillId="0" borderId="11" xfId="0" applyNumberFormat="1" applyFill="1" applyBorder="1" applyAlignment="1">
      <alignment horizontal="center" vertical="center"/>
    </xf>
    <xf numFmtId="44" fontId="0" fillId="0" borderId="11" xfId="1" applyFont="1" applyFill="1" applyBorder="1" applyAlignment="1">
      <alignment horizontal="center" vertical="center"/>
    </xf>
    <xf numFmtId="44" fontId="0" fillId="0" borderId="11" xfId="0" applyNumberFormat="1" applyFill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10" fontId="0" fillId="0" borderId="11" xfId="2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4" fontId="0" fillId="0" borderId="13" xfId="0" applyNumberFormat="1" applyBorder="1" applyAlignment="1">
      <alignment horizontal="center" vertical="center"/>
    </xf>
    <xf numFmtId="44" fontId="0" fillId="2" borderId="11" xfId="0" applyNumberFormat="1" applyFill="1" applyBorder="1" applyAlignment="1">
      <alignment horizontal="center" vertical="center"/>
    </xf>
    <xf numFmtId="14" fontId="0" fillId="6" borderId="10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0" fontId="0" fillId="5" borderId="0" xfId="2" applyNumberFormat="1" applyFont="1" applyFill="1" applyBorder="1" applyAlignment="1">
      <alignment horizontal="center" vertical="center"/>
    </xf>
    <xf numFmtId="44" fontId="0" fillId="5" borderId="0" xfId="0" applyNumberFormat="1" applyFill="1" applyBorder="1" applyAlignment="1">
      <alignment horizontal="center" vertical="center"/>
    </xf>
    <xf numFmtId="44" fontId="0" fillId="5" borderId="0" xfId="1" applyFont="1" applyFill="1" applyBorder="1" applyAlignment="1">
      <alignment horizontal="center" vertical="center"/>
    </xf>
    <xf numFmtId="44" fontId="0" fillId="5" borderId="0" xfId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4" fontId="0" fillId="5" borderId="0" xfId="0" applyNumberFormat="1" applyFill="1" applyAlignment="1">
      <alignment horizontal="center" vertical="center"/>
    </xf>
    <xf numFmtId="10" fontId="0" fillId="5" borderId="0" xfId="2" applyNumberFormat="1" applyFont="1" applyFill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164" fontId="0" fillId="5" borderId="0" xfId="1" applyNumberFormat="1" applyFont="1" applyFill="1" applyAlignment="1">
      <alignment horizontal="center" vertical="center"/>
    </xf>
    <xf numFmtId="10" fontId="0" fillId="2" borderId="13" xfId="2" applyNumberFormat="1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0" fillId="0" borderId="8" xfId="2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0" fontId="0" fillId="0" borderId="17" xfId="2" applyNumberFormat="1" applyFont="1" applyBorder="1" applyAlignment="1">
      <alignment horizontal="center" vertical="center"/>
    </xf>
    <xf numFmtId="44" fontId="0" fillId="0" borderId="17" xfId="0" applyNumberFormat="1" applyBorder="1" applyAlignment="1">
      <alignment horizontal="center" vertical="center"/>
    </xf>
    <xf numFmtId="44" fontId="0" fillId="0" borderId="17" xfId="0" applyNumberFormat="1" applyFill="1" applyBorder="1" applyAlignment="1">
      <alignment horizontal="center" vertical="center"/>
    </xf>
    <xf numFmtId="44" fontId="0" fillId="0" borderId="17" xfId="1" applyFont="1" applyBorder="1" applyAlignment="1">
      <alignment horizontal="center" vertical="center"/>
    </xf>
    <xf numFmtId="44" fontId="0" fillId="0" borderId="18" xfId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0" fontId="0" fillId="0" borderId="22" xfId="2" applyNumberFormat="1" applyFont="1" applyFill="1" applyBorder="1" applyAlignment="1">
      <alignment horizontal="center" vertical="center"/>
    </xf>
    <xf numFmtId="44" fontId="0" fillId="0" borderId="22" xfId="1" applyFont="1" applyBorder="1" applyAlignment="1">
      <alignment horizontal="center" vertical="center"/>
    </xf>
    <xf numFmtId="0" fontId="0" fillId="0" borderId="22" xfId="1" applyNumberFormat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8" fontId="0" fillId="0" borderId="22" xfId="0" applyNumberFormat="1" applyFill="1" applyBorder="1" applyAlignment="1">
      <alignment horizontal="center" vertical="center"/>
    </xf>
    <xf numFmtId="44" fontId="0" fillId="0" borderId="22" xfId="1" applyFont="1" applyFill="1" applyBorder="1" applyAlignment="1">
      <alignment horizontal="center" vertical="center"/>
    </xf>
    <xf numFmtId="44" fontId="0" fillId="2" borderId="22" xfId="1" applyFont="1" applyFill="1" applyBorder="1" applyAlignment="1">
      <alignment horizontal="center" vertical="center"/>
    </xf>
    <xf numFmtId="44" fontId="0" fillId="0" borderId="22" xfId="0" applyNumberFormat="1" applyFill="1" applyBorder="1" applyAlignment="1">
      <alignment horizontal="center" vertical="center"/>
    </xf>
    <xf numFmtId="10" fontId="0" fillId="0" borderId="22" xfId="2" applyNumberFormat="1" applyFont="1" applyBorder="1" applyAlignment="1">
      <alignment horizontal="center" vertical="center"/>
    </xf>
    <xf numFmtId="10" fontId="0" fillId="0" borderId="15" xfId="2" applyNumberFormat="1" applyFont="1" applyBorder="1" applyAlignment="1">
      <alignment horizontal="center" vertical="center"/>
    </xf>
    <xf numFmtId="44" fontId="0" fillId="0" borderId="15" xfId="0" applyNumberFormat="1" applyBorder="1" applyAlignment="1">
      <alignment horizontal="center" vertical="center"/>
    </xf>
    <xf numFmtId="44" fontId="0" fillId="0" borderId="15" xfId="0" applyNumberFormat="1" applyFill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4" fontId="0" fillId="0" borderId="24" xfId="1" applyFont="1" applyBorder="1" applyAlignment="1">
      <alignment horizontal="center"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1" xfId="0" applyFill="1" applyBorder="1"/>
    <xf numFmtId="44" fontId="0" fillId="0" borderId="1" xfId="1" applyFont="1" applyFill="1" applyBorder="1"/>
    <xf numFmtId="8" fontId="0" fillId="0" borderId="0" xfId="0" applyNumberFormat="1"/>
    <xf numFmtId="8" fontId="0" fillId="5" borderId="1" xfId="0" applyNumberFormat="1" applyFill="1" applyBorder="1"/>
    <xf numFmtId="14" fontId="4" fillId="5" borderId="0" xfId="0" applyNumberFormat="1" applyFont="1" applyFill="1" applyAlignment="1">
      <alignment horizontal="center" vertical="center"/>
    </xf>
    <xf numFmtId="167" fontId="0" fillId="5" borderId="0" xfId="0" applyNumberFormat="1" applyFill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0" fillId="0" borderId="12" xfId="2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4" fontId="0" fillId="2" borderId="22" xfId="1" applyNumberFormat="1" applyFont="1" applyFill="1" applyBorder="1" applyAlignment="1">
      <alignment horizontal="center" vertical="center"/>
    </xf>
    <xf numFmtId="167" fontId="0" fillId="0" borderId="22" xfId="0" applyNumberFormat="1" applyFill="1" applyBorder="1" applyAlignment="1">
      <alignment horizontal="center" vertical="center"/>
    </xf>
    <xf numFmtId="44" fontId="0" fillId="0" borderId="22" xfId="0" applyNumberFormat="1" applyBorder="1" applyAlignment="1">
      <alignment horizontal="center" vertical="center"/>
    </xf>
    <xf numFmtId="169" fontId="0" fillId="0" borderId="15" xfId="2" applyNumberFormat="1" applyFont="1" applyBorder="1" applyAlignment="1">
      <alignment horizontal="center" vertical="center"/>
    </xf>
    <xf numFmtId="44" fontId="0" fillId="2" borderId="1" xfId="1" applyFont="1" applyFill="1" applyBorder="1" applyAlignment="1">
      <alignment vertical="center"/>
    </xf>
    <xf numFmtId="44" fontId="0" fillId="2" borderId="22" xfId="1" applyFont="1" applyFill="1" applyBorder="1" applyAlignment="1">
      <alignment vertical="center"/>
    </xf>
    <xf numFmtId="0" fontId="0" fillId="0" borderId="0" xfId="0" applyBorder="1"/>
    <xf numFmtId="44" fontId="0" fillId="2" borderId="12" xfId="1" applyNumberFormat="1" applyFont="1" applyFill="1" applyBorder="1" applyAlignment="1">
      <alignment horizontal="center" vertical="center"/>
    </xf>
    <xf numFmtId="44" fontId="0" fillId="0" borderId="12" xfId="0" applyNumberFormat="1" applyBorder="1" applyAlignment="1">
      <alignment horizontal="center" vertical="center"/>
    </xf>
    <xf numFmtId="44" fontId="0" fillId="2" borderId="12" xfId="1" applyFont="1" applyFill="1" applyBorder="1" applyAlignment="1">
      <alignment vertical="center"/>
    </xf>
    <xf numFmtId="170" fontId="0" fillId="5" borderId="0" xfId="0" applyNumberForma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44" fontId="0" fillId="0" borderId="1" xfId="0" applyNumberFormat="1" applyFill="1" applyBorder="1"/>
    <xf numFmtId="0" fontId="0" fillId="5" borderId="29" xfId="0" applyFill="1" applyBorder="1"/>
    <xf numFmtId="0" fontId="0" fillId="5" borderId="28" xfId="0" applyFill="1" applyBorder="1"/>
    <xf numFmtId="0" fontId="0" fillId="5" borderId="33" xfId="0" applyFill="1" applyBorder="1"/>
    <xf numFmtId="0" fontId="0" fillId="5" borderId="34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0" xfId="0" applyFill="1" applyBorder="1"/>
    <xf numFmtId="0" fontId="0" fillId="5" borderId="35" xfId="0" applyFill="1" applyBorder="1"/>
    <xf numFmtId="9" fontId="0" fillId="5" borderId="0" xfId="0" applyNumberFormat="1" applyFill="1" applyBorder="1"/>
    <xf numFmtId="169" fontId="0" fillId="5" borderId="0" xfId="2" applyNumberFormat="1" applyFont="1" applyFill="1" applyBorder="1"/>
    <xf numFmtId="9" fontId="0" fillId="5" borderId="0" xfId="2" applyNumberFormat="1" applyFont="1" applyFill="1" applyBorder="1"/>
    <xf numFmtId="44" fontId="0" fillId="5" borderId="31" xfId="1" applyFont="1" applyFill="1" applyBorder="1"/>
    <xf numFmtId="169" fontId="0" fillId="0" borderId="0" xfId="2" applyNumberFormat="1" applyFont="1" applyBorder="1"/>
    <xf numFmtId="9" fontId="0" fillId="5" borderId="34" xfId="2" applyFont="1" applyFill="1" applyBorder="1"/>
    <xf numFmtId="169" fontId="0" fillId="5" borderId="34" xfId="0" applyNumberFormat="1" applyFill="1" applyBorder="1"/>
    <xf numFmtId="0" fontId="5" fillId="9" borderId="28" xfId="0" applyFont="1" applyFill="1" applyBorder="1"/>
    <xf numFmtId="0" fontId="5" fillId="9" borderId="0" xfId="0" applyFont="1" applyFill="1" applyBorder="1"/>
    <xf numFmtId="0" fontId="5" fillId="9" borderId="30" xfId="0" applyFont="1" applyFill="1" applyBorder="1"/>
    <xf numFmtId="0" fontId="0" fillId="9" borderId="0" xfId="0" applyFill="1"/>
    <xf numFmtId="0" fontId="0" fillId="5" borderId="34" xfId="0" applyFill="1" applyBorder="1" applyAlignment="1">
      <alignment horizontal="right"/>
    </xf>
    <xf numFmtId="0" fontId="6" fillId="5" borderId="0" xfId="0" applyFont="1" applyFill="1" applyBorder="1"/>
    <xf numFmtId="0" fontId="6" fillId="5" borderId="34" xfId="0" applyFont="1" applyFill="1" applyBorder="1"/>
    <xf numFmtId="9" fontId="0" fillId="0" borderId="0" xfId="2" applyFont="1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Border="1"/>
    <xf numFmtId="44" fontId="0" fillId="0" borderId="4" xfId="0" applyNumberFormat="1" applyBorder="1"/>
    <xf numFmtId="9" fontId="0" fillId="0" borderId="4" xfId="2" applyFont="1" applyBorder="1"/>
    <xf numFmtId="0" fontId="0" fillId="0" borderId="5" xfId="0" applyBorder="1"/>
    <xf numFmtId="169" fontId="0" fillId="0" borderId="6" xfId="2" applyNumberFormat="1" applyFont="1" applyBorder="1"/>
    <xf numFmtId="0" fontId="0" fillId="0" borderId="36" xfId="0" applyBorder="1"/>
    <xf numFmtId="44" fontId="0" fillId="0" borderId="37" xfId="0" applyNumberFormat="1" applyBorder="1"/>
    <xf numFmtId="44" fontId="0" fillId="0" borderId="6" xfId="0" applyNumberFormat="1" applyBorder="1"/>
    <xf numFmtId="44" fontId="0" fillId="0" borderId="37" xfId="1" applyFont="1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8" xfId="0" applyBorder="1" applyAlignment="1">
      <alignment horizontal="center"/>
    </xf>
    <xf numFmtId="44" fontId="0" fillId="0" borderId="37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6" xfId="1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0" fontId="0" fillId="0" borderId="22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0" fontId="0" fillId="0" borderId="38" xfId="2" applyNumberFormat="1" applyFont="1" applyBorder="1" applyAlignment="1">
      <alignment horizontal="center" vertical="center"/>
    </xf>
    <xf numFmtId="10" fontId="0" fillId="0" borderId="38" xfId="2" applyNumberFormat="1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67" fontId="0" fillId="0" borderId="38" xfId="0" applyNumberFormat="1" applyFill="1" applyBorder="1" applyAlignment="1">
      <alignment horizontal="center" vertical="center"/>
    </xf>
    <xf numFmtId="44" fontId="0" fillId="2" borderId="38" xfId="1" applyFont="1" applyFill="1" applyBorder="1" applyAlignment="1">
      <alignment horizontal="center" vertical="center"/>
    </xf>
    <xf numFmtId="44" fontId="0" fillId="0" borderId="38" xfId="1" applyFont="1" applyBorder="1" applyAlignment="1">
      <alignment horizontal="center" vertical="center"/>
    </xf>
    <xf numFmtId="44" fontId="0" fillId="0" borderId="37" xfId="1" applyFont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44" fontId="0" fillId="2" borderId="20" xfId="1" applyFont="1" applyFill="1" applyBorder="1" applyAlignment="1">
      <alignment horizontal="center" vertical="center"/>
    </xf>
    <xf numFmtId="10" fontId="0" fillId="0" borderId="20" xfId="2" applyNumberFormat="1" applyFont="1" applyBorder="1" applyAlignment="1">
      <alignment horizontal="center" vertical="center"/>
    </xf>
    <xf numFmtId="168" fontId="0" fillId="0" borderId="38" xfId="0" applyNumberFormat="1" applyFill="1" applyBorder="1" applyAlignment="1">
      <alignment horizontal="center" vertical="center"/>
    </xf>
    <xf numFmtId="44" fontId="0" fillId="0" borderId="38" xfId="1" applyFont="1" applyFill="1" applyBorder="1" applyAlignment="1">
      <alignment horizontal="center" vertical="center"/>
    </xf>
    <xf numFmtId="44" fontId="0" fillId="0" borderId="38" xfId="0" applyNumberFormat="1" applyFill="1" applyBorder="1" applyAlignment="1">
      <alignment horizontal="center" vertical="center"/>
    </xf>
    <xf numFmtId="44" fontId="0" fillId="2" borderId="17" xfId="1" applyFont="1" applyFill="1" applyBorder="1" applyAlignment="1">
      <alignment horizontal="center" vertical="center"/>
    </xf>
    <xf numFmtId="0" fontId="0" fillId="0" borderId="17" xfId="1" applyNumberFormat="1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68" fontId="0" fillId="0" borderId="11" xfId="0" applyNumberFormat="1" applyFill="1" applyBorder="1" applyAlignment="1">
      <alignment horizontal="center" vertical="center"/>
    </xf>
    <xf numFmtId="44" fontId="0" fillId="0" borderId="17" xfId="1" applyFont="1" applyFill="1" applyBorder="1" applyAlignment="1">
      <alignment horizontal="center" vertical="center"/>
    </xf>
    <xf numFmtId="44" fontId="6" fillId="5" borderId="1" xfId="1" applyFont="1" applyFill="1" applyBorder="1"/>
    <xf numFmtId="44" fontId="1" fillId="5" borderId="1" xfId="1" applyFont="1" applyFill="1" applyBorder="1"/>
    <xf numFmtId="44" fontId="0" fillId="2" borderId="11" xfId="1" applyFont="1" applyFill="1" applyBorder="1"/>
    <xf numFmtId="44" fontId="0" fillId="2" borderId="1" xfId="1" applyFont="1" applyFill="1" applyBorder="1"/>
    <xf numFmtId="0" fontId="0" fillId="2" borderId="1" xfId="0" applyFill="1" applyBorder="1"/>
    <xf numFmtId="44" fontId="0" fillId="0" borderId="12" xfId="1" applyFont="1" applyFill="1" applyBorder="1" applyAlignment="1">
      <alignment horizontal="center" vertical="center"/>
    </xf>
    <xf numFmtId="0" fontId="0" fillId="10" borderId="1" xfId="0" applyFill="1" applyBorder="1"/>
    <xf numFmtId="44" fontId="0" fillId="10" borderId="1" xfId="1" applyFont="1" applyFill="1" applyBorder="1"/>
    <xf numFmtId="44" fontId="0" fillId="10" borderId="1" xfId="0" applyNumberFormat="1" applyFill="1" applyBorder="1"/>
    <xf numFmtId="0" fontId="0" fillId="0" borderId="3" xfId="0" applyBorder="1" applyAlignment="1">
      <alignment horizontal="center" vertical="center"/>
    </xf>
    <xf numFmtId="170" fontId="0" fillId="0" borderId="0" xfId="0" applyNumberFormat="1"/>
    <xf numFmtId="10" fontId="0" fillId="0" borderId="0" xfId="2" applyNumberFormat="1" applyFon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0" fillId="0" borderId="39" xfId="1" applyFont="1" applyBorder="1" applyAlignment="1">
      <alignment horizontal="center" vertical="center"/>
    </xf>
    <xf numFmtId="169" fontId="0" fillId="0" borderId="1" xfId="2" applyNumberFormat="1" applyFont="1" applyBorder="1" applyAlignment="1">
      <alignment horizontal="center" vertical="center"/>
    </xf>
    <xf numFmtId="169" fontId="0" fillId="0" borderId="39" xfId="2" applyNumberFormat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44" fontId="0" fillId="0" borderId="40" xfId="1" applyFont="1" applyBorder="1" applyAlignment="1">
      <alignment horizontal="center" vertical="center"/>
    </xf>
    <xf numFmtId="44" fontId="0" fillId="0" borderId="32" xfId="0" applyNumberFormat="1" applyBorder="1"/>
    <xf numFmtId="44" fontId="0" fillId="0" borderId="30" xfId="0" applyNumberFormat="1" applyBorder="1"/>
    <xf numFmtId="0" fontId="0" fillId="0" borderId="35" xfId="0" applyBorder="1"/>
    <xf numFmtId="0" fontId="6" fillId="0" borderId="45" xfId="0" applyFont="1" applyBorder="1"/>
    <xf numFmtId="44" fontId="0" fillId="0" borderId="7" xfId="1" applyFont="1" applyBorder="1" applyAlignment="1">
      <alignment horizontal="center" vertical="center"/>
    </xf>
    <xf numFmtId="169" fontId="0" fillId="0" borderId="13" xfId="2" applyNumberFormat="1" applyFont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9" fillId="10" borderId="15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 wrapText="1"/>
    </xf>
    <xf numFmtId="169" fontId="0" fillId="0" borderId="8" xfId="2" applyNumberFormat="1" applyFont="1" applyBorder="1" applyAlignment="1">
      <alignment horizontal="center" vertical="center"/>
    </xf>
    <xf numFmtId="169" fontId="0" fillId="0" borderId="4" xfId="2" applyNumberFormat="1" applyFont="1" applyBorder="1" applyAlignment="1">
      <alignment horizontal="center" vertical="center"/>
    </xf>
    <xf numFmtId="169" fontId="0" fillId="0" borderId="41" xfId="2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1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1" applyNumberFormat="1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44" fontId="0" fillId="0" borderId="0" xfId="2" applyNumberFormat="1" applyFont="1"/>
    <xf numFmtId="0" fontId="0" fillId="0" borderId="0" xfId="0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10" borderId="29" xfId="0" applyFont="1" applyFill="1" applyBorder="1" applyAlignment="1">
      <alignment horizontal="center"/>
    </xf>
    <xf numFmtId="0" fontId="8" fillId="10" borderId="33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7" fontId="0" fillId="5" borderId="27" xfId="0" applyNumberFormat="1" applyFill="1" applyBorder="1" applyAlignment="1">
      <alignment horizontal="center"/>
    </xf>
    <xf numFmtId="17" fontId="0" fillId="5" borderId="14" xfId="0" applyNumberFormat="1" applyFill="1" applyBorder="1" applyAlignment="1">
      <alignment horizontal="center"/>
    </xf>
    <xf numFmtId="17" fontId="0" fillId="5" borderId="1" xfId="0" applyNumberFormat="1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5828"/>
      <color rgb="FF00FFFF"/>
      <color rgb="FFF2FFA3"/>
      <color rgb="FF00FF00"/>
      <color rgb="FFF8F8F8"/>
      <color rgb="FF002E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9.xml" Type="http://schemas.openxmlformats.org/officeDocument/2006/relationships/worksheet"/>
<Relationship Id="rId11" Target="worksheets/sheet10.xml" Type="http://schemas.openxmlformats.org/officeDocument/2006/relationships/worksheet"/>
<Relationship Id="rId12" Target="worksheets/sheet11.xml" Type="http://schemas.openxmlformats.org/officeDocument/2006/relationships/worksheet"/>
<Relationship Id="rId13" Target="theme/theme1.xml" Type="http://schemas.openxmlformats.org/officeDocument/2006/relationships/theme"/>
<Relationship Id="rId14" Target="connections.xml" Type="http://schemas.openxmlformats.org/officeDocument/2006/relationships/connections"/>
<Relationship Id="rId15" Target="styles.xml" Type="http://schemas.openxmlformats.org/officeDocument/2006/relationships/styles"/>
<Relationship Id="rId16" Target="sharedStrings.xml" Type="http://schemas.openxmlformats.org/officeDocument/2006/relationships/sharedStrings"/>
<Relationship Id="rId17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chartsheets/sheet1.xml" Type="http://schemas.openxmlformats.org/officeDocument/2006/relationships/chartsheet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Sector Weight % Of Portfolio</a:t>
            </a:r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tx>
            <c:v>% Of Portfolio</c:v>
          </c:tx>
          <c:spPr>
            <a:ln>
              <a:solidFill>
                <a:schemeClr val="tx1"/>
              </a:solidFill>
            </a:ln>
          </c:spPr>
          <c:explosion val="5"/>
          <c:dPt>
            <c:idx val="2"/>
            <c:bubble3D val="0"/>
            <c:spPr>
              <a:solidFill>
                <a:srgbClr val="005828"/>
              </a:solidFill>
              <a:ln>
                <a:solidFill>
                  <a:schemeClr val="tx1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Allocation!$B$3:$B$13</c:f>
              <c:strCache>
                <c:ptCount val="11"/>
                <c:pt idx="0">
                  <c:v>Consumer Discretionary</c:v>
                </c:pt>
                <c:pt idx="1">
                  <c:v>Consumer Staples</c:v>
                </c:pt>
                <c:pt idx="2">
                  <c:v>Energy</c:v>
                </c:pt>
                <c:pt idx="3">
                  <c:v>Financials</c:v>
                </c:pt>
                <c:pt idx="4">
                  <c:v>Real Estate</c:v>
                </c:pt>
                <c:pt idx="5">
                  <c:v>Health Care</c:v>
                </c:pt>
                <c:pt idx="6">
                  <c:v>Industrials</c:v>
                </c:pt>
                <c:pt idx="7">
                  <c:v>Information Technology</c:v>
                </c:pt>
                <c:pt idx="8">
                  <c:v>Materials</c:v>
                </c:pt>
                <c:pt idx="9">
                  <c:v>Telecommunication Services</c:v>
                </c:pt>
                <c:pt idx="10">
                  <c:v>Utilities</c:v>
                </c:pt>
              </c:strCache>
            </c:strRef>
          </c:cat>
          <c:val>
            <c:numRef>
              <c:f>Allocation!$D$3:$D$13</c:f>
              <c:numCache>
                <c:formatCode>0.0%</c:formatCode>
                <c:ptCount val="11"/>
                <c:pt idx="0">
                  <c:v>3.2465071028204028E-2</c:v>
                </c:pt>
                <c:pt idx="1">
                  <c:v>9.5515439574742969E-2</c:v>
                </c:pt>
                <c:pt idx="2">
                  <c:v>0.23254554732708924</c:v>
                </c:pt>
                <c:pt idx="3">
                  <c:v>0.11984432534367501</c:v>
                </c:pt>
                <c:pt idx="4">
                  <c:v>0.23957138753443932</c:v>
                </c:pt>
                <c:pt idx="5">
                  <c:v>4.1441043860293526E-3</c:v>
                </c:pt>
                <c:pt idx="6">
                  <c:v>7.7522982649717284E-2</c:v>
                </c:pt>
                <c:pt idx="7">
                  <c:v>8.164251119493858E-2</c:v>
                </c:pt>
                <c:pt idx="8">
                  <c:v>4.5679832973352576E-2</c:v>
                </c:pt>
                <c:pt idx="9">
                  <c:v>2.270540496723825E-2</c:v>
                </c:pt>
                <c:pt idx="10">
                  <c:v>1.0241630273080326E-2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294444444444441"/>
          <c:y val="0.16218285214348208"/>
          <c:w val="0.36038888888888887"/>
          <c:h val="0.80051873724117817"/>
        </c:manualLayout>
      </c:layout>
      <c:overlay val="0"/>
      <c:txPr>
        <a:bodyPr/>
        <a:lstStyle/>
        <a:p>
          <a:pPr rtl="0">
            <a:defRPr sz="16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n-US" sz="3200"/>
              <a:t>Dividend</a:t>
            </a:r>
            <a:r>
              <a:rPr lang="en-US" sz="3200" baseline="0"/>
              <a:t> Growth</a:t>
            </a:r>
            <a:r>
              <a:rPr lang="en-US" sz="3200"/>
              <a:t> by Year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522269518415629"/>
          <c:y val="9.9262439079874629E-2"/>
          <c:w val="0.89058464899818202"/>
          <c:h val="0.852179010671728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'Youtube Income'!$B$3:$B$8</c:f>
              <c:strCach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strCache>
            </c:strRef>
          </c:tx>
          <c:spPr>
            <a:solidFill>
              <a:srgbClr val="92D050"/>
            </a:solidFill>
            <a:ln w="25400">
              <a:solidFill>
                <a:srgbClr val="005828"/>
              </a:solidFill>
            </a:ln>
          </c:spPr>
          <c:invertIfNegative val="0"/>
          <c:dLbls>
            <c:dLbl>
              <c:idx val="1"/>
              <c:layout>
                <c:manualLayout>
                  <c:x val="-1.8994796373040851E-3"/>
                  <c:y val="0.51484754448334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'Youtube Income'!$B$3:$B$8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'Youtube Income'!$K$3:$K$8</c:f>
              <c:numCache>
                <c:formatCode>0%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63094576"/>
        <c:axId val="-663094032"/>
      </c:barChart>
      <c:catAx>
        <c:axId val="-66309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-663094032"/>
        <c:crosses val="autoZero"/>
        <c:auto val="1"/>
        <c:lblAlgn val="ctr"/>
        <c:lblOffset val="100"/>
        <c:noMultiLvlLbl val="0"/>
      </c:catAx>
      <c:valAx>
        <c:axId val="-66309403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800"/>
                </a:pPr>
                <a:r>
                  <a:rPr lang="en-US" sz="2800"/>
                  <a:t>Percentage Dividend Increase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2400"/>
            </a:pPr>
            <a:endParaRPr lang="en-US"/>
          </a:p>
        </c:txPr>
        <c:crossAx val="-663094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n-US" sz="3200"/>
              <a:t>Dividend</a:t>
            </a:r>
            <a:r>
              <a:rPr lang="en-US" sz="3200" baseline="0"/>
              <a:t>s per month</a:t>
            </a:r>
            <a:endParaRPr lang="en-US" sz="3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503452497736375"/>
          <c:y val="9.9262439079874629E-2"/>
          <c:w val="0.87077280446596383"/>
          <c:h val="0.852179010671728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'Youtube Income'!$B$3:$B$8</c:f>
              <c:strCach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strCache>
            </c:strRef>
          </c:tx>
          <c:spPr>
            <a:solidFill>
              <a:srgbClr val="92D050"/>
            </a:solidFill>
            <a:ln w="25400">
              <a:solidFill>
                <a:srgbClr val="005828"/>
              </a:solidFill>
            </a:ln>
          </c:spPr>
          <c:invertIfNegative val="0"/>
          <c:dLbls>
            <c:dLbl>
              <c:idx val="1"/>
              <c:layout>
                <c:manualLayout>
                  <c:x val="-2.8349959018630446E-3"/>
                  <c:y val="-8.124929131029862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'Youtube Income'!$B$3:$B$8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'Youtube Income'!$I$3:$I$8</c:f>
              <c:numCache>
                <c:formatCode>_("$"* #,##0.00_);_("$"* \(#,##0.00\);_("$"* "-"??_);_(@_)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63090768"/>
        <c:axId val="-663097840"/>
      </c:barChart>
      <c:catAx>
        <c:axId val="-66309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-663097840"/>
        <c:crosses val="autoZero"/>
        <c:auto val="1"/>
        <c:lblAlgn val="ctr"/>
        <c:lblOffset val="100"/>
        <c:noMultiLvlLbl val="0"/>
      </c:catAx>
      <c:valAx>
        <c:axId val="-6630978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800"/>
                </a:pPr>
                <a:r>
                  <a:rPr lang="en-US" sz="2800"/>
                  <a:t>Dividends</a:t>
                </a:r>
                <a:r>
                  <a:rPr lang="en-US" sz="2800" baseline="0"/>
                  <a:t> per month</a:t>
                </a:r>
                <a:endParaRPr lang="en-US" sz="2800"/>
              </a:p>
            </c:rich>
          </c:tx>
          <c:overlay val="0"/>
        </c:title>
        <c:numFmt formatCode="_(&quot;$&quot;* #,##0_);_(&quot;$&quot;* \(#,##0\);_(&quot;$&quot;* &quot;-&quot;_);_(@_)" sourceLinked="0"/>
        <c:majorTickMark val="out"/>
        <c:minorTickMark val="none"/>
        <c:tickLblPos val="nextTo"/>
        <c:txPr>
          <a:bodyPr/>
          <a:lstStyle/>
          <a:p>
            <a:pPr>
              <a:defRPr sz="2400"/>
            </a:pPr>
            <a:endParaRPr lang="en-US"/>
          </a:p>
        </c:txPr>
        <c:crossAx val="-663090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Sector Income</a:t>
            </a:r>
            <a:r>
              <a:rPr lang="en-US" baseline="0"/>
              <a:t> (%) Of Portfolio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spPr>
            <a:ln>
              <a:solidFill>
                <a:schemeClr val="tx1"/>
              </a:solidFill>
            </a:ln>
          </c:spPr>
          <c:explosion val="5"/>
          <c:dPt>
            <c:idx val="2"/>
            <c:bubble3D val="0"/>
            <c:spPr>
              <a:solidFill>
                <a:srgbClr val="005828"/>
              </a:solidFill>
              <a:ln>
                <a:solidFill>
                  <a:schemeClr val="tx1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Allocation!$B$3:$B$13</c:f>
              <c:strCache>
                <c:ptCount val="11"/>
                <c:pt idx="0">
                  <c:v>Consumer Discretionary</c:v>
                </c:pt>
                <c:pt idx="1">
                  <c:v>Consumer Staples</c:v>
                </c:pt>
                <c:pt idx="2">
                  <c:v>Energy</c:v>
                </c:pt>
                <c:pt idx="3">
                  <c:v>Financials</c:v>
                </c:pt>
                <c:pt idx="4">
                  <c:v>Real Estate</c:v>
                </c:pt>
                <c:pt idx="5">
                  <c:v>Health Care</c:v>
                </c:pt>
                <c:pt idx="6">
                  <c:v>Industrials</c:v>
                </c:pt>
                <c:pt idx="7">
                  <c:v>Information Technology</c:v>
                </c:pt>
                <c:pt idx="8">
                  <c:v>Materials</c:v>
                </c:pt>
                <c:pt idx="9">
                  <c:v>Telecommunication Services</c:v>
                </c:pt>
                <c:pt idx="10">
                  <c:v>Utilities</c:v>
                </c:pt>
              </c:strCache>
            </c:strRef>
          </c:cat>
          <c:val>
            <c:numRef>
              <c:f>Allocation!$F$3:$F$13</c:f>
              <c:numCache>
                <c:formatCode>0.0%</c:formatCode>
                <c:ptCount val="11"/>
                <c:pt idx="0">
                  <c:v>1.2189834660777631E-2</c:v>
                </c:pt>
                <c:pt idx="1">
                  <c:v>7.1049355943762854E-2</c:v>
                </c:pt>
                <c:pt idx="2">
                  <c:v>0.28485401285989537</c:v>
                </c:pt>
                <c:pt idx="3">
                  <c:v>0.12973720979121953</c:v>
                </c:pt>
                <c:pt idx="4">
                  <c:v>0.30097212864496298</c:v>
                </c:pt>
                <c:pt idx="5">
                  <c:v>3.7693295063352308E-3</c:v>
                </c:pt>
                <c:pt idx="6">
                  <c:v>8.7505665855368231E-2</c:v>
                </c:pt>
                <c:pt idx="7">
                  <c:v>1.3720813848240318E-2</c:v>
                </c:pt>
                <c:pt idx="8">
                  <c:v>6.0107109043951619E-2</c:v>
                </c:pt>
                <c:pt idx="9">
                  <c:v>3.0084836622201086E-2</c:v>
                </c:pt>
                <c:pt idx="10">
                  <c:v>6.0097032232850657E-3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294444444444441"/>
          <c:y val="0.16218285214348208"/>
          <c:w val="0.36038888888888887"/>
          <c:h val="0.80051873724117817"/>
        </c:manualLayout>
      </c:layout>
      <c:overlay val="0"/>
      <c:txPr>
        <a:bodyPr/>
        <a:lstStyle/>
        <a:p>
          <a:pPr rtl="0">
            <a:defRPr sz="16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Sector Weight % Of Portfolio</a:t>
            </a:r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spPr>
            <a:ln>
              <a:solidFill>
                <a:schemeClr val="tx1"/>
              </a:solidFill>
            </a:ln>
          </c:spPr>
          <c:explosion val="5"/>
          <c:dPt>
            <c:idx val="2"/>
            <c:bubble3D val="0"/>
            <c:spPr>
              <a:solidFill>
                <a:srgbClr val="005828"/>
              </a:solidFill>
              <a:ln>
                <a:solidFill>
                  <a:schemeClr val="tx1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Allocation!$B$17:$B$56</c:f>
              <c:strCache>
                <c:ptCount val="40"/>
                <c:pt idx="0">
                  <c:v>Chesapeake Energy</c:v>
                </c:pt>
                <c:pt idx="1">
                  <c:v>Fidelity Real Estate</c:v>
                </c:pt>
                <c:pt idx="2">
                  <c:v>Hershey</c:v>
                </c:pt>
                <c:pt idx="3">
                  <c:v>Icahn Enterprises</c:v>
                </c:pt>
                <c:pt idx="4">
                  <c:v>Kinder Morgan</c:v>
                </c:pt>
                <c:pt idx="5">
                  <c:v>Lilis Energy</c:v>
                </c:pt>
                <c:pt idx="6">
                  <c:v>Realty Income Corp</c:v>
                </c:pt>
                <c:pt idx="7">
                  <c:v>Main Street Capital</c:v>
                </c:pt>
                <c:pt idx="8">
                  <c:v>Phillips 66</c:v>
                </c:pt>
                <c:pt idx="9">
                  <c:v>Royal Dutch Shell</c:v>
                </c:pt>
                <c:pt idx="10">
                  <c:v>Seadrill Partners</c:v>
                </c:pt>
                <c:pt idx="11">
                  <c:v>Square inc</c:v>
                </c:pt>
                <c:pt idx="12">
                  <c:v>STAG Industries</c:v>
                </c:pt>
                <c:pt idx="13">
                  <c:v>Starwood Property Trust</c:v>
                </c:pt>
                <c:pt idx="14">
                  <c:v>Suncor Energy</c:v>
                </c:pt>
                <c:pt idx="15">
                  <c:v>Skyworks Solutions</c:v>
                </c:pt>
                <c:pt idx="16">
                  <c:v>Union Pacific</c:v>
                </c:pt>
                <c:pt idx="17">
                  <c:v>Wells Fargo</c:v>
                </c:pt>
                <c:pt idx="18">
                  <c:v>BHP Billiton</c:v>
                </c:pt>
                <c:pt idx="19">
                  <c:v>Cyrus One</c:v>
                </c:pt>
                <c:pt idx="20">
                  <c:v>Disney</c:v>
                </c:pt>
                <c:pt idx="21">
                  <c:v>First Solar</c:v>
                </c:pt>
                <c:pt idx="22">
                  <c:v>General Electric</c:v>
                </c:pt>
                <c:pt idx="23">
                  <c:v>South32</c:v>
                </c:pt>
                <c:pt idx="24">
                  <c:v>Verizon</c:v>
                </c:pt>
                <c:pt idx="25">
                  <c:v>W.P. Carey</c:v>
                </c:pt>
                <c:pt idx="26">
                  <c:v>Abbvie</c:v>
                </c:pt>
                <c:pt idx="27">
                  <c:v>Altria Group</c:v>
                </c:pt>
                <c:pt idx="28">
                  <c:v>Aqua America</c:v>
                </c:pt>
                <c:pt idx="29">
                  <c:v>Dr. Pepper Snapple Co.</c:v>
                </c:pt>
                <c:pt idx="30">
                  <c:v>Exxon Mobil</c:v>
                </c:pt>
                <c:pt idx="31">
                  <c:v>International Business Machines</c:v>
                </c:pt>
                <c:pt idx="32">
                  <c:v>Philip Morris</c:v>
                </c:pt>
                <c:pt idx="33">
                  <c:v>Clorox</c:v>
                </c:pt>
                <c:pt idx="34">
                  <c:v>Verizon</c:v>
                </c:pt>
                <c:pt idx="35">
                  <c:v>Waste Management</c:v>
                </c:pt>
                <c:pt idx="36">
                  <c:v>General Mills, Inc.</c:v>
                </c:pt>
                <c:pt idx="37">
                  <c:v>McCormick &amp; Company</c:v>
                </c:pt>
                <c:pt idx="38">
                  <c:v>Realty Income Corp</c:v>
                </c:pt>
                <c:pt idx="39">
                  <c:v>Proctor and Gamble</c:v>
                </c:pt>
              </c:strCache>
            </c:strRef>
          </c:cat>
          <c:val>
            <c:numRef>
              <c:f>Allocation!$D$17:$D$57</c:f>
              <c:numCache>
                <c:formatCode>0%</c:formatCode>
                <c:ptCount val="41"/>
                <c:pt idx="0">
                  <c:v>6.0253460251479913E-3</c:v>
                </c:pt>
                <c:pt idx="1">
                  <c:v>4.9807470341006162E-3</c:v>
                </c:pt>
                <c:pt idx="2">
                  <c:v>2.8818605559518876E-2</c:v>
                </c:pt>
                <c:pt idx="3">
                  <c:v>1.2537542488694205E-2</c:v>
                </c:pt>
                <c:pt idx="4">
                  <c:v>2.6457989170892416E-2</c:v>
                </c:pt>
                <c:pt idx="5">
                  <c:v>2.8256641248305132E-2</c:v>
                </c:pt>
                <c:pt idx="6">
                  <c:v>7.9445273019665613E-2</c:v>
                </c:pt>
                <c:pt idx="7">
                  <c:v>3.8558259900710302E-2</c:v>
                </c:pt>
                <c:pt idx="8">
                  <c:v>4.1896207499102521E-2</c:v>
                </c:pt>
                <c:pt idx="9">
                  <c:v>7.6266747150660258E-2</c:v>
                </c:pt>
                <c:pt idx="10">
                  <c:v>2.1145739128471296E-2</c:v>
                </c:pt>
                <c:pt idx="11">
                  <c:v>3.223560123454175E-2</c:v>
                </c:pt>
                <c:pt idx="12">
                  <c:v>3.8353552116920368E-2</c:v>
                </c:pt>
                <c:pt idx="13">
                  <c:v>1.5966762301427646E-2</c:v>
                </c:pt>
                <c:pt idx="14">
                  <c:v>6.2817573527710561E-3</c:v>
                </c:pt>
                <c:pt idx="15">
                  <c:v>1.5054118760265954E-2</c:v>
                </c:pt>
                <c:pt idx="16">
                  <c:v>2.3117543161531098E-2</c:v>
                </c:pt>
                <c:pt idx="17">
                  <c:v>7.7038699234069682E-2</c:v>
                </c:pt>
                <c:pt idx="18">
                  <c:v>4.4547875128015918E-2</c:v>
                </c:pt>
                <c:pt idx="19">
                  <c:v>4.9325967707151051E-2</c:v>
                </c:pt>
                <c:pt idx="20">
                  <c:v>3.26637392631225E-2</c:v>
                </c:pt>
                <c:pt idx="21">
                  <c:v>5.7728641901641668E-2</c:v>
                </c:pt>
                <c:pt idx="22">
                  <c:v>3.7057902868472541E-2</c:v>
                </c:pt>
                <c:pt idx="23">
                  <c:v>1.4114930966318904E-3</c:v>
                </c:pt>
                <c:pt idx="24">
                  <c:v>1.7233481458429453E-2</c:v>
                </c:pt>
                <c:pt idx="25">
                  <c:v>5.4771135023212229E-2</c:v>
                </c:pt>
                <c:pt idx="26">
                  <c:v>4.1694640072350211E-3</c:v>
                </c:pt>
                <c:pt idx="27">
                  <c:v>1.4802504742728428E-2</c:v>
                </c:pt>
                <c:pt idx="28">
                  <c:v>1.0304303372032513E-2</c:v>
                </c:pt>
                <c:pt idx="29">
                  <c:v>8.1097795877358627E-3</c:v>
                </c:pt>
                <c:pt idx="30">
                  <c:v>2.7638169569972042E-2</c:v>
                </c:pt>
                <c:pt idx="31">
                  <c:v>9.3593574360720452E-3</c:v>
                </c:pt>
                <c:pt idx="32">
                  <c:v>2.9327444610551156E-2</c:v>
                </c:pt>
                <c:pt idx="33">
                  <c:v>7.8503273633132274E-3</c:v>
                </c:pt>
                <c:pt idx="34">
                  <c:v>5.6108679985353536E-3</c:v>
                </c:pt>
                <c:pt idx="35">
                  <c:v>5.2843918033748955E-3</c:v>
                </c:pt>
                <c:pt idx="36">
                  <c:v>1.2916184655266314E-3</c:v>
                </c:pt>
                <c:pt idx="37">
                  <c:v>7.8558883002144636E-4</c:v>
                </c:pt>
                <c:pt idx="38">
                  <c:v>3.1747414309926426E-3</c:v>
                </c:pt>
                <c:pt idx="39">
                  <c:v>5.1140719484347287E-3</c:v>
                </c:pt>
                <c:pt idx="4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294444444444441"/>
          <c:y val="8.6271332797511743E-2"/>
          <c:w val="0.36038888888888887"/>
          <c:h val="0.87643036080433012"/>
        </c:manualLayout>
      </c:layout>
      <c:overlay val="0"/>
      <c:txPr>
        <a:bodyPr/>
        <a:lstStyle/>
        <a:p>
          <a:pPr rtl="0">
            <a:defRPr sz="16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3600"/>
              <a:t>Total Dividends by Account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8924354123473793E-2"/>
          <c:y val="8.6150434071848386E-2"/>
          <c:w val="0.83764460608354685"/>
          <c:h val="0.853290882570863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'Yearly Dividends'!$B$3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1"/>
            </a:solidFill>
            <a:ln w="25400">
              <a:solidFill>
                <a:schemeClr val="tx1"/>
              </a:solidFill>
            </a:ln>
          </c:spPr>
          <c:invertIfNegative val="0"/>
          <c:cat>
            <c:strRef>
              <c:f>'Yearly Dividends'!$C$2:$H$2</c:f>
              <c:strCache>
                <c:ptCount val="6"/>
                <c:pt idx="0">
                  <c:v>IBA</c:v>
                </c:pt>
                <c:pt idx="1">
                  <c:v>IRA</c:v>
                </c:pt>
                <c:pt idx="2">
                  <c:v>Computershares</c:v>
                </c:pt>
                <c:pt idx="3">
                  <c:v>SVP</c:v>
                </c:pt>
                <c:pt idx="4">
                  <c:v>Shareowner</c:v>
                </c:pt>
                <c:pt idx="5">
                  <c:v>Total</c:v>
                </c:pt>
              </c:strCache>
            </c:strRef>
          </c:cat>
          <c:val>
            <c:numRef>
              <c:f>'Yearly Dividends'!$C$3:$H$3</c:f>
              <c:numCache>
                <c:formatCode>General</c:formatCode>
                <c:ptCount val="6"/>
                <c:pt idx="0">
                  <c:v>0.85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_(&quot;$&quot;* #,##0.00_);_(&quot;$&quot;* \(#,##0.00\);_(&quot;$&quot;* &quot;-&quot;??_);_(@_)">
                  <c:v>0.85</c:v>
                </c:pt>
              </c:numCache>
            </c:numRef>
          </c:val>
        </c:ser>
        <c:ser>
          <c:idx val="1"/>
          <c:order val="1"/>
          <c:tx>
            <c:strRef>
              <c:f>'Yearly Dividends'!$B$4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strRef>
              <c:f>'Yearly Dividends'!$C$2:$H$2</c:f>
              <c:strCache>
                <c:ptCount val="6"/>
                <c:pt idx="0">
                  <c:v>IBA</c:v>
                </c:pt>
                <c:pt idx="1">
                  <c:v>IRA</c:v>
                </c:pt>
                <c:pt idx="2">
                  <c:v>Computershares</c:v>
                </c:pt>
                <c:pt idx="3">
                  <c:v>SVP</c:v>
                </c:pt>
                <c:pt idx="4">
                  <c:v>Shareowner</c:v>
                </c:pt>
                <c:pt idx="5">
                  <c:v>Total</c:v>
                </c:pt>
              </c:strCache>
            </c:strRef>
          </c:cat>
          <c:val>
            <c:numRef>
              <c:f>'Yearly Dividends'!$C$4:$H$4</c:f>
              <c:numCache>
                <c:formatCode>General</c:formatCode>
                <c:ptCount val="6"/>
                <c:pt idx="0">
                  <c:v>74.17</c:v>
                </c:pt>
                <c:pt idx="1">
                  <c:v>156.88999999999999</c:v>
                </c:pt>
                <c:pt idx="2">
                  <c:v>29.540000000000003</c:v>
                </c:pt>
                <c:pt idx="3">
                  <c:v>0</c:v>
                </c:pt>
                <c:pt idx="4">
                  <c:v>0.42</c:v>
                </c:pt>
                <c:pt idx="5" formatCode="_(&quot;$&quot;* #,##0.00_);_(&quot;$&quot;* \(#,##0.00\);_(&quot;$&quot;* &quot;-&quot;??_);_(@_)">
                  <c:v>260.59999999999997</c:v>
                </c:pt>
              </c:numCache>
            </c:numRef>
          </c:val>
        </c:ser>
        <c:ser>
          <c:idx val="2"/>
          <c:order val="2"/>
          <c:tx>
            <c:strRef>
              <c:f>'Yearly Dividends'!$B$5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5828"/>
              </a:solidFill>
            </a:ln>
          </c:spPr>
          <c:invertIfNegative val="0"/>
          <c:cat>
            <c:strRef>
              <c:f>'Yearly Dividends'!$C$2:$H$2</c:f>
              <c:strCache>
                <c:ptCount val="6"/>
                <c:pt idx="0">
                  <c:v>IBA</c:v>
                </c:pt>
                <c:pt idx="1">
                  <c:v>IRA</c:v>
                </c:pt>
                <c:pt idx="2">
                  <c:v>Computershares</c:v>
                </c:pt>
                <c:pt idx="3">
                  <c:v>SVP</c:v>
                </c:pt>
                <c:pt idx="4">
                  <c:v>Shareowner</c:v>
                </c:pt>
                <c:pt idx="5">
                  <c:v>Total</c:v>
                </c:pt>
              </c:strCache>
            </c:strRef>
          </c:cat>
          <c:val>
            <c:numRef>
              <c:f>'Yearly Dividends'!$C$5:$H$5</c:f>
              <c:numCache>
                <c:formatCode>_("$"* #,##0.00_);_("$"* \(#,##0.00\);_("$"* "-"??_);_(@_)</c:formatCode>
                <c:ptCount val="6"/>
                <c:pt idx="0">
                  <c:v>300.51</c:v>
                </c:pt>
                <c:pt idx="1">
                  <c:v>310.21000000000004</c:v>
                </c:pt>
                <c:pt idx="2">
                  <c:v>132.72111699999999</c:v>
                </c:pt>
                <c:pt idx="3" formatCode="General">
                  <c:v>433.79999999999995</c:v>
                </c:pt>
                <c:pt idx="4">
                  <c:v>4.8099999999999996</c:v>
                </c:pt>
                <c:pt idx="5">
                  <c:v>1182.051117</c:v>
                </c:pt>
              </c:numCache>
            </c:numRef>
          </c:val>
        </c:ser>
        <c:ser>
          <c:idx val="3"/>
          <c:order val="3"/>
          <c:tx>
            <c:strRef>
              <c:f>'Yearly Dividends'!$B$6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2FFA3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'Yearly Dividends'!$C$2:$H$2</c:f>
              <c:strCache>
                <c:ptCount val="6"/>
                <c:pt idx="0">
                  <c:v>IBA</c:v>
                </c:pt>
                <c:pt idx="1">
                  <c:v>IRA</c:v>
                </c:pt>
                <c:pt idx="2">
                  <c:v>Computershares</c:v>
                </c:pt>
                <c:pt idx="3">
                  <c:v>SVP</c:v>
                </c:pt>
                <c:pt idx="4">
                  <c:v>Shareowner</c:v>
                </c:pt>
                <c:pt idx="5">
                  <c:v>Total</c:v>
                </c:pt>
              </c:strCache>
            </c:strRef>
          </c:cat>
          <c:val>
            <c:numRef>
              <c:f>'Yearly Dividends'!$C$6:$H$6</c:f>
              <c:numCache>
                <c:formatCode>_("$"* #,##0.00_);_("$"* \(#,##0.00\);_("$"* "-"??_);_(@_)</c:formatCode>
                <c:ptCount val="6"/>
                <c:pt idx="0">
                  <c:v>879.15252600000008</c:v>
                </c:pt>
                <c:pt idx="1">
                  <c:v>333.32095000000004</c:v>
                </c:pt>
                <c:pt idx="2">
                  <c:v>223.1798565</c:v>
                </c:pt>
                <c:pt idx="3">
                  <c:v>578.4</c:v>
                </c:pt>
                <c:pt idx="4">
                  <c:v>5.88</c:v>
                </c:pt>
                <c:pt idx="5">
                  <c:v>2019.9333325000002</c:v>
                </c:pt>
              </c:numCache>
            </c:numRef>
          </c:val>
        </c:ser>
        <c:ser>
          <c:idx val="4"/>
          <c:order val="4"/>
          <c:tx>
            <c:strRef>
              <c:f>'Yearly Dividends'!$B$7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'Yearly Dividends'!$C$2:$H$2</c:f>
              <c:strCache>
                <c:ptCount val="6"/>
                <c:pt idx="0">
                  <c:v>IBA</c:v>
                </c:pt>
                <c:pt idx="1">
                  <c:v>IRA</c:v>
                </c:pt>
                <c:pt idx="2">
                  <c:v>Computershares</c:v>
                </c:pt>
                <c:pt idx="3">
                  <c:v>SVP</c:v>
                </c:pt>
                <c:pt idx="4">
                  <c:v>Shareowner</c:v>
                </c:pt>
                <c:pt idx="5">
                  <c:v>Total</c:v>
                </c:pt>
              </c:strCache>
            </c:strRef>
          </c:cat>
          <c:val>
            <c:numRef>
              <c:f>'Yearly Dividends'!$C$7:$H$7</c:f>
              <c:numCache>
                <c:formatCode>_("$"* #,##0.00_);_("$"* \(#,##0.00\);_("$"* "-"??_);_(@_)</c:formatCode>
                <c:ptCount val="6"/>
                <c:pt idx="0">
                  <c:v>1777.1884157280001</c:v>
                </c:pt>
                <c:pt idx="1">
                  <c:v>672.02531999999997</c:v>
                </c:pt>
                <c:pt idx="2">
                  <c:v>235.68983827999998</c:v>
                </c:pt>
                <c:pt idx="3">
                  <c:v>578.4</c:v>
                </c:pt>
                <c:pt idx="4">
                  <c:v>10.08</c:v>
                </c:pt>
                <c:pt idx="5">
                  <c:v>3273.3835740079999</c:v>
                </c:pt>
              </c:numCache>
            </c:numRef>
          </c:val>
        </c:ser>
        <c:ser>
          <c:idx val="5"/>
          <c:order val="5"/>
          <c:tx>
            <c:strRef>
              <c:f>'Yearly Dividends'!$B$8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'Yearly Dividends'!$C$2:$H$2</c:f>
              <c:strCache>
                <c:ptCount val="6"/>
                <c:pt idx="0">
                  <c:v>IBA</c:v>
                </c:pt>
                <c:pt idx="1">
                  <c:v>IRA</c:v>
                </c:pt>
                <c:pt idx="2">
                  <c:v>Computershares</c:v>
                </c:pt>
                <c:pt idx="3">
                  <c:v>SVP</c:v>
                </c:pt>
                <c:pt idx="4">
                  <c:v>Shareowner</c:v>
                </c:pt>
                <c:pt idx="5">
                  <c:v>Total</c:v>
                </c:pt>
              </c:strCache>
            </c:strRef>
          </c:cat>
          <c:val>
            <c:numRef>
              <c:f>'Yearly Dividends'!$C$8:$H$8</c:f>
              <c:numCache>
                <c:formatCode>_("$"* #,##0.00_);_("$"* \(#,##0.00\);_("$"* "-"??_);_(@_)</c:formatCode>
                <c:ptCount val="6"/>
                <c:pt idx="0">
                  <c:v>1927.4083139999996</c:v>
                </c:pt>
                <c:pt idx="1">
                  <c:v>858.11511999999993</c:v>
                </c:pt>
                <c:pt idx="2">
                  <c:v>315.61503316879993</c:v>
                </c:pt>
                <c:pt idx="3">
                  <c:v>578.4</c:v>
                </c:pt>
                <c:pt idx="4">
                  <c:v>10.08</c:v>
                </c:pt>
                <c:pt idx="5">
                  <c:v>3689.6184671687993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1"/>
        <c:axId val="-669958752"/>
        <c:axId val="-669953856"/>
      </c:barChart>
      <c:catAx>
        <c:axId val="-66995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/>
            </a:pPr>
            <a:endParaRPr lang="en-US"/>
          </a:p>
        </c:txPr>
        <c:crossAx val="-669953856"/>
        <c:crosses val="autoZero"/>
        <c:auto val="1"/>
        <c:lblAlgn val="ctr"/>
        <c:lblOffset val="100"/>
        <c:noMultiLvlLbl val="0"/>
      </c:catAx>
      <c:valAx>
        <c:axId val="-669953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800"/>
                </a:pPr>
                <a:r>
                  <a:rPr lang="en-US" sz="2800"/>
                  <a:t>Dividends</a:t>
                </a:r>
                <a:r>
                  <a:rPr lang="en-US" sz="2800" baseline="0"/>
                  <a:t> ($)</a:t>
                </a:r>
                <a:endParaRPr lang="en-US" sz="28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400"/>
            </a:pPr>
            <a:endParaRPr lang="en-US"/>
          </a:p>
        </c:txPr>
        <c:crossAx val="-669958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111766968476027"/>
          <c:y val="9.6922650869673402E-2"/>
          <c:w val="9.4772274446196611E-2"/>
          <c:h val="0.4785465566612638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3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n-US" sz="3200"/>
              <a:t>Dividend</a:t>
            </a:r>
            <a:r>
              <a:rPr lang="en-US" sz="3200" baseline="0"/>
              <a:t> Growth</a:t>
            </a:r>
            <a:r>
              <a:rPr lang="en-US" sz="3200"/>
              <a:t> by Year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522269518415629"/>
          <c:y val="9.9262439079874629E-2"/>
          <c:w val="0.89058464899818202"/>
          <c:h val="0.852179010671728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'Yearly Dividends'!$B$3:$B$8</c:f>
              <c:strCach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strCache>
            </c:strRef>
          </c:tx>
          <c:spPr>
            <a:solidFill>
              <a:srgbClr val="92D050"/>
            </a:solidFill>
            <a:ln w="25400">
              <a:solidFill>
                <a:srgbClr val="005828"/>
              </a:solidFill>
            </a:ln>
          </c:spPr>
          <c:invertIfNegative val="0"/>
          <c:dLbls>
            <c:dLbl>
              <c:idx val="1"/>
              <c:layout>
                <c:manualLayout>
                  <c:x val="-1.8994796373040851E-3"/>
                  <c:y val="0.51484754448334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'Yearly Dividends'!$B$3:$B$8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'Yearly Dividends'!$K$3:$K$8</c:f>
              <c:numCache>
                <c:formatCode>0%</c:formatCode>
                <c:ptCount val="6"/>
                <c:pt idx="1">
                  <c:v>305.58823529411757</c:v>
                </c:pt>
                <c:pt idx="2">
                  <c:v>3.5358830276285502</c:v>
                </c:pt>
                <c:pt idx="3">
                  <c:v>0.70883754809733857</c:v>
                </c:pt>
                <c:pt idx="4">
                  <c:v>0.62054040167585556</c:v>
                </c:pt>
                <c:pt idx="5">
                  <c:v>0.12715738432424301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69953312"/>
        <c:axId val="-669947872"/>
      </c:barChart>
      <c:catAx>
        <c:axId val="-6699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-669947872"/>
        <c:crosses val="autoZero"/>
        <c:auto val="1"/>
        <c:lblAlgn val="ctr"/>
        <c:lblOffset val="100"/>
        <c:noMultiLvlLbl val="0"/>
      </c:catAx>
      <c:valAx>
        <c:axId val="-66994787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800"/>
                </a:pPr>
                <a:r>
                  <a:rPr lang="en-US" sz="2800"/>
                  <a:t>Percentage Dividend Increase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2400"/>
            </a:pPr>
            <a:endParaRPr lang="en-US"/>
          </a:p>
        </c:txPr>
        <c:crossAx val="-669953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n-US" sz="3200"/>
              <a:t>Dividend</a:t>
            </a:r>
            <a:r>
              <a:rPr lang="en-US" sz="3200" baseline="0"/>
              <a:t>s per month</a:t>
            </a:r>
            <a:endParaRPr lang="en-US" sz="3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503452497736375"/>
          <c:y val="9.9262439079874629E-2"/>
          <c:w val="0.87077280446596383"/>
          <c:h val="0.852179010671728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'Yearly Dividends'!$B$3:$B$8</c:f>
              <c:strCach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strCache>
            </c:strRef>
          </c:tx>
          <c:spPr>
            <a:solidFill>
              <a:srgbClr val="92D050"/>
            </a:solidFill>
            <a:ln w="25400">
              <a:solidFill>
                <a:srgbClr val="005828"/>
              </a:solidFill>
            </a:ln>
          </c:spPr>
          <c:invertIfNegative val="0"/>
          <c:dLbls>
            <c:dLbl>
              <c:idx val="1"/>
              <c:layout>
                <c:manualLayout>
                  <c:x val="-2.8349959018630446E-3"/>
                  <c:y val="-8.124929131029862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'Yearly Dividends'!$B$3:$B$8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'Yearly Dividends'!$I$3:$I$8</c:f>
              <c:numCache>
                <c:formatCode>_("$"* #,##0.00_);_("$"* \(#,##0.00\);_("$"* "-"??_);_(@_)</c:formatCode>
                <c:ptCount val="6"/>
                <c:pt idx="0">
                  <c:v>7.0833333333333331E-2</c:v>
                </c:pt>
                <c:pt idx="1">
                  <c:v>21.716666666666665</c:v>
                </c:pt>
                <c:pt idx="2">
                  <c:v>98.504259750000003</c:v>
                </c:pt>
                <c:pt idx="3">
                  <c:v>168.32777770833334</c:v>
                </c:pt>
                <c:pt idx="4">
                  <c:v>272.78196450066667</c:v>
                </c:pt>
                <c:pt idx="5">
                  <c:v>307.46820559739996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69944064"/>
        <c:axId val="-669943520"/>
      </c:barChart>
      <c:catAx>
        <c:axId val="-66994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-669943520"/>
        <c:crosses val="autoZero"/>
        <c:auto val="1"/>
        <c:lblAlgn val="ctr"/>
        <c:lblOffset val="100"/>
        <c:noMultiLvlLbl val="0"/>
      </c:catAx>
      <c:valAx>
        <c:axId val="-669943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800"/>
                </a:pPr>
                <a:r>
                  <a:rPr lang="en-US" sz="2800"/>
                  <a:t>Dividends</a:t>
                </a:r>
                <a:r>
                  <a:rPr lang="en-US" sz="2800" baseline="0"/>
                  <a:t> per month</a:t>
                </a:r>
                <a:endParaRPr lang="en-US" sz="2800"/>
              </a:p>
            </c:rich>
          </c:tx>
          <c:overlay val="0"/>
        </c:title>
        <c:numFmt formatCode="_(&quot;$&quot;* #,##0_);_(&quot;$&quot;* \(#,##0\);_(&quot;$&quot;* &quot;-&quot;_);_(@_)" sourceLinked="0"/>
        <c:majorTickMark val="out"/>
        <c:minorTickMark val="none"/>
        <c:tickLblPos val="nextTo"/>
        <c:txPr>
          <a:bodyPr/>
          <a:lstStyle/>
          <a:p>
            <a:pPr>
              <a:defRPr sz="2400"/>
            </a:pPr>
            <a:endParaRPr lang="en-US"/>
          </a:p>
        </c:txPr>
        <c:crossAx val="-669944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 sz="2800"/>
              <a:t>Passive</a:t>
            </a:r>
            <a:r>
              <a:rPr lang="en-US" sz="2800" baseline="0"/>
              <a:t> Income by Year</a:t>
            </a:r>
            <a:endParaRPr lang="en-US" sz="28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672255700880617"/>
          <c:y val="8.861988794014837E-2"/>
          <c:w val="0.8471706386215343"/>
          <c:h val="0.82343237362938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'Yearly Dividends'!$H$3:$H$8</c:f>
              <c:strCache>
                <c:ptCount val="6"/>
                <c:pt idx="0">
                  <c:v> $0.85 </c:v>
                </c:pt>
                <c:pt idx="1">
                  <c:v> $260.60 </c:v>
                </c:pt>
                <c:pt idx="2">
                  <c:v> $1,182.05 </c:v>
                </c:pt>
                <c:pt idx="3">
                  <c:v> $2,019.93 </c:v>
                </c:pt>
                <c:pt idx="4">
                  <c:v> $3,273.38 </c:v>
                </c:pt>
                <c:pt idx="5">
                  <c:v> $3,689.62 </c:v>
                </c:pt>
              </c:strCache>
            </c:strRef>
          </c:tx>
          <c:spPr>
            <a:solidFill>
              <a:srgbClr val="92D050"/>
            </a:solidFill>
            <a:ln w="25400">
              <a:solidFill>
                <a:srgbClr val="005828"/>
              </a:solidFill>
            </a:ln>
          </c:spPr>
          <c:invertIfNegative val="0"/>
          <c:cat>
            <c:numRef>
              <c:f>'Yearly Dividends'!$B$3:$B$8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'Yearly Dividends'!$H$3:$H$8</c:f>
              <c:numCache>
                <c:formatCode>_("$"* #,##0.00_);_("$"* \(#,##0.00\);_("$"* "-"??_);_(@_)</c:formatCode>
                <c:ptCount val="6"/>
                <c:pt idx="0">
                  <c:v>0.85</c:v>
                </c:pt>
                <c:pt idx="1">
                  <c:v>260.59999999999997</c:v>
                </c:pt>
                <c:pt idx="2">
                  <c:v>1182.051117</c:v>
                </c:pt>
                <c:pt idx="3">
                  <c:v>2019.9333325000002</c:v>
                </c:pt>
                <c:pt idx="4">
                  <c:v>3273.3835740079999</c:v>
                </c:pt>
                <c:pt idx="5">
                  <c:v>3689.6184671687993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63636272"/>
        <c:axId val="-663633008"/>
      </c:barChart>
      <c:catAx>
        <c:axId val="-66363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-663633008"/>
        <c:crosses val="autoZero"/>
        <c:auto val="1"/>
        <c:lblAlgn val="ctr"/>
        <c:lblOffset val="100"/>
        <c:noMultiLvlLbl val="0"/>
      </c:catAx>
      <c:valAx>
        <c:axId val="-663633008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-663636272"/>
        <c:crosses val="autoZero"/>
        <c:crossBetween val="between"/>
      </c:valAx>
    </c:plotArea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3600"/>
              <a:t>Total Dividends by Account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8924354123473793E-2"/>
          <c:y val="8.6150434071848386E-2"/>
          <c:w val="0.83764460608354685"/>
          <c:h val="0.762239741115245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Dividends'!$B$3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1"/>
            </a:solidFill>
            <a:ln w="25400">
              <a:solidFill>
                <a:schemeClr val="tx1"/>
              </a:solidFill>
            </a:ln>
          </c:spPr>
          <c:invertIfNegative val="0"/>
          <c:cat>
            <c:strRef>
              <c:f>'Monthly Dividends'!$C$2:$N$2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Dividends'!$C$3:$N$3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'Monthly Dividends'!$B$4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strRef>
              <c:f>'Monthly Dividends'!$C$2:$N$2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Dividends'!$C$4:$N$4</c:f>
              <c:numCache>
                <c:formatCode>General</c:formatCode>
                <c:ptCount val="12"/>
              </c:numCache>
            </c:numRef>
          </c:val>
        </c:ser>
        <c:ser>
          <c:idx val="2"/>
          <c:order val="2"/>
          <c:tx>
            <c:strRef>
              <c:f>'Monthly Dividends'!$B$5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5828"/>
              </a:solidFill>
            </a:ln>
          </c:spPr>
          <c:invertIfNegative val="0"/>
          <c:cat>
            <c:strRef>
              <c:f>'Monthly Dividends'!$C$2:$N$2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Dividends'!$C$5:$N$5</c:f>
              <c:numCache>
                <c:formatCode>_("$"* #,##0.00_);_("$"* \(#,##0.00\);_("$"* "-"??_);_(@_)</c:formatCode>
                <c:ptCount val="12"/>
                <c:pt idx="5">
                  <c:v>222.92</c:v>
                </c:pt>
                <c:pt idx="6">
                  <c:v>68.259999999999991</c:v>
                </c:pt>
                <c:pt idx="7">
                  <c:v>69.179999999999993</c:v>
                </c:pt>
                <c:pt idx="8">
                  <c:v>195.01000000000002</c:v>
                </c:pt>
                <c:pt idx="9">
                  <c:v>135.57000000000002</c:v>
                </c:pt>
                <c:pt idx="10">
                  <c:v>82.761116999999999</c:v>
                </c:pt>
                <c:pt idx="11">
                  <c:v>109.62</c:v>
                </c:pt>
              </c:numCache>
            </c:numRef>
          </c:val>
        </c:ser>
        <c:ser>
          <c:idx val="3"/>
          <c:order val="3"/>
          <c:tx>
            <c:strRef>
              <c:f>'Monthly Dividends'!$B$6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2FFA3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'Monthly Dividends'!$C$2:$N$2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Dividends'!$C$6:$N$6</c:f>
              <c:numCache>
                <c:formatCode>_("$"* #,##0.00_);_("$"* \(#,##0.00\);_("$"* "-"??_);_(@_)</c:formatCode>
                <c:ptCount val="12"/>
                <c:pt idx="0">
                  <c:v>77.42</c:v>
                </c:pt>
                <c:pt idx="1">
                  <c:v>106.72</c:v>
                </c:pt>
                <c:pt idx="2">
                  <c:v>85.480950000000007</c:v>
                </c:pt>
                <c:pt idx="3">
                  <c:v>142.94016000000002</c:v>
                </c:pt>
                <c:pt idx="4">
                  <c:v>83.170000000000016</c:v>
                </c:pt>
                <c:pt idx="5">
                  <c:v>255.95</c:v>
                </c:pt>
                <c:pt idx="6">
                  <c:v>103.65847000000002</c:v>
                </c:pt>
                <c:pt idx="7">
                  <c:v>72.781376500000007</c:v>
                </c:pt>
                <c:pt idx="8">
                  <c:v>232.52053599999999</c:v>
                </c:pt>
                <c:pt idx="9">
                  <c:v>102.98032000000001</c:v>
                </c:pt>
                <c:pt idx="10">
                  <c:v>104.26152</c:v>
                </c:pt>
                <c:pt idx="11">
                  <c:v>180.10000000000002</c:v>
                </c:pt>
              </c:numCache>
            </c:numRef>
          </c:val>
        </c:ser>
        <c:ser>
          <c:idx val="4"/>
          <c:order val="4"/>
          <c:tx>
            <c:strRef>
              <c:f>'Monthly Dividends'!$B$7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'Monthly Dividends'!$C$2:$N$2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Dividends'!$C$7:$N$7</c:f>
              <c:numCache>
                <c:formatCode>_("$"* #,##0.00_);_("$"* \(#,##0.00\);_("$"* "-"??_);_(@_)</c:formatCode>
                <c:ptCount val="12"/>
                <c:pt idx="0">
                  <c:v>126.27</c:v>
                </c:pt>
                <c:pt idx="1">
                  <c:v>130.04</c:v>
                </c:pt>
                <c:pt idx="2">
                  <c:v>405.72414499999996</c:v>
                </c:pt>
                <c:pt idx="3">
                  <c:v>260.09499999999997</c:v>
                </c:pt>
                <c:pt idx="4">
                  <c:v>80.89</c:v>
                </c:pt>
                <c:pt idx="5">
                  <c:v>476.53123010399997</c:v>
                </c:pt>
              </c:numCache>
            </c:numRef>
          </c:val>
        </c:ser>
        <c:ser>
          <c:idx val="5"/>
          <c:order val="5"/>
          <c:tx>
            <c:strRef>
              <c:f>'Monthly Dividends'!$B$8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'Monthly Dividends'!$C$2:$N$2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Dividends'!$C$8:$N$8</c:f>
              <c:numCache>
                <c:formatCode>_("$"* #,##0.00_);_("$"* \(#,##0.00\);_("$"* "-"??_);_(@_)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1"/>
        <c:axId val="-663630288"/>
        <c:axId val="-663636816"/>
      </c:barChart>
      <c:catAx>
        <c:axId val="-6636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/>
            </a:pPr>
            <a:endParaRPr lang="en-US"/>
          </a:p>
        </c:txPr>
        <c:crossAx val="-663636816"/>
        <c:crosses val="autoZero"/>
        <c:auto val="1"/>
        <c:lblAlgn val="ctr"/>
        <c:lblOffset val="100"/>
        <c:noMultiLvlLbl val="0"/>
      </c:catAx>
      <c:valAx>
        <c:axId val="-663636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800"/>
                </a:pPr>
                <a:r>
                  <a:rPr lang="en-US" sz="2800"/>
                  <a:t>Dividends</a:t>
                </a:r>
                <a:r>
                  <a:rPr lang="en-US" sz="2800" baseline="0"/>
                  <a:t> ($)</a:t>
                </a:r>
                <a:endParaRPr lang="en-US" sz="28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400"/>
            </a:pPr>
            <a:endParaRPr lang="en-US"/>
          </a:p>
        </c:txPr>
        <c:crossAx val="-663630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111766968476027"/>
          <c:y val="9.6922650869673402E-2"/>
          <c:w val="9.4772274446196611E-2"/>
          <c:h val="0.4785465566612638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3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3600"/>
              <a:t>Total Dividends by Account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8924354123473793E-2"/>
          <c:y val="8.6150434071848386E-2"/>
          <c:w val="0.83764460608354685"/>
          <c:h val="0.762239741115245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'Youtube Income'!$B$3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1"/>
            </a:solidFill>
            <a:ln w="25400">
              <a:solidFill>
                <a:schemeClr val="tx1"/>
              </a:solidFill>
            </a:ln>
          </c:spPr>
          <c:invertIfNegative val="0"/>
          <c:cat>
            <c:strRef>
              <c:f>'Youtube Income'!$C$2:$N$2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'Youtube Income'!$C$3:$N$3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'Youtube Income'!$B$4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strRef>
              <c:f>'Youtube Income'!$C$2:$N$2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'Youtube Income'!$C$4:$N$4</c:f>
              <c:numCache>
                <c:formatCode>General</c:formatCode>
                <c:ptCount val="12"/>
              </c:numCache>
            </c:numRef>
          </c:val>
        </c:ser>
        <c:ser>
          <c:idx val="2"/>
          <c:order val="2"/>
          <c:tx>
            <c:strRef>
              <c:f>'Youtube Income'!$B$5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5828"/>
              </a:solidFill>
            </a:ln>
          </c:spPr>
          <c:invertIfNegative val="0"/>
          <c:cat>
            <c:strRef>
              <c:f>'Youtube Income'!$C$2:$N$2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'Youtube Income'!$C$5:$N$5</c:f>
              <c:numCache>
                <c:formatCode>_("$"* #,##0.00_);_("$"* \(#,##0.00\);_("$"* "-"??_);_(@_)</c:formatCode>
                <c:ptCount val="12"/>
              </c:numCache>
            </c:numRef>
          </c:val>
        </c:ser>
        <c:ser>
          <c:idx val="3"/>
          <c:order val="3"/>
          <c:tx>
            <c:strRef>
              <c:f>'Youtube Income'!$B$6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2FFA3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'Youtube Income'!$C$2:$N$2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'Youtube Income'!$C$6:$N$6</c:f>
              <c:numCache>
                <c:formatCode>_("$"* #,##0.00_);_("$"* \(#,##0.00\);_("$"* "-"??_);_(@_)</c:formatCode>
                <c:ptCount val="12"/>
              </c:numCache>
            </c:numRef>
          </c:val>
        </c:ser>
        <c:ser>
          <c:idx val="4"/>
          <c:order val="4"/>
          <c:tx>
            <c:strRef>
              <c:f>'Youtube Income'!$B$7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'Youtube Income'!$C$2:$N$2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'Youtube Income'!$C$7:$N$7</c:f>
              <c:numCache>
                <c:formatCode>_("$"* #,##0.00_);_("$"* \(#,##0.00\);_("$"* "-"??_);_(@_)</c:formatCode>
                <c:ptCount val="12"/>
                <c:pt idx="0">
                  <c:v>1.1399999999999999</c:v>
                </c:pt>
                <c:pt idx="1">
                  <c:v>10.31</c:v>
                </c:pt>
                <c:pt idx="2">
                  <c:v>3.51</c:v>
                </c:pt>
                <c:pt idx="3">
                  <c:v>6.37</c:v>
                </c:pt>
                <c:pt idx="4">
                  <c:v>27.25</c:v>
                </c:pt>
                <c:pt idx="5">
                  <c:v>53.53</c:v>
                </c:pt>
              </c:numCache>
            </c:numRef>
          </c:val>
        </c:ser>
        <c:ser>
          <c:idx val="5"/>
          <c:order val="5"/>
          <c:tx>
            <c:strRef>
              <c:f>'Youtube Income'!$B$8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'Youtube Income'!$C$2:$N$2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'Youtube Income'!$C$8:$N$8</c:f>
              <c:numCache>
                <c:formatCode>_("$"* #,##0.00_);_("$"* \(#,##0.00\);_("$"* "-"??_);_(@_)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1"/>
        <c:axId val="-663635728"/>
        <c:axId val="-663635184"/>
      </c:barChart>
      <c:catAx>
        <c:axId val="-66363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/>
            </a:pPr>
            <a:endParaRPr lang="en-US"/>
          </a:p>
        </c:txPr>
        <c:crossAx val="-663635184"/>
        <c:crosses val="autoZero"/>
        <c:auto val="1"/>
        <c:lblAlgn val="ctr"/>
        <c:lblOffset val="100"/>
        <c:noMultiLvlLbl val="0"/>
      </c:catAx>
      <c:valAx>
        <c:axId val="-663635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800"/>
                </a:pPr>
                <a:r>
                  <a:rPr lang="en-US" sz="2800"/>
                  <a:t>Dividends</a:t>
                </a:r>
                <a:r>
                  <a:rPr lang="en-US" sz="2800" baseline="0"/>
                  <a:t> ($)</a:t>
                </a:r>
                <a:endParaRPr lang="en-US" sz="28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400"/>
            </a:pPr>
            <a:endParaRPr lang="en-US"/>
          </a:p>
        </c:txPr>
        <c:crossAx val="-663635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111766968476027"/>
          <c:y val="9.6922650869673402E-2"/>
          <c:w val="9.4772274446196611E-2"/>
          <c:h val="0.4785465566612638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3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Relationship Id="rId3" Target="../charts/chart3.xml" Type="http://schemas.openxmlformats.org/officeDocument/2006/relationships/chart"/>
</Relationships>

</file>

<file path=xl/drawings/_rels/drawing2.xml.rels><?xml version="1.0" encoding="UTF-8" standalone="no"?>
<Relationships xmlns="http://schemas.openxmlformats.org/package/2006/relationships">
<Relationship Id="rId1" Target="../charts/chart4.xml" Type="http://schemas.openxmlformats.org/officeDocument/2006/relationships/chart"/>
<Relationship Id="rId2" Target="../charts/chart5.xml" Type="http://schemas.openxmlformats.org/officeDocument/2006/relationships/chart"/>
<Relationship Id="rId3" Target="../charts/chart6.xml" Type="http://schemas.openxmlformats.org/officeDocument/2006/relationships/chart"/>
</Relationships>

</file>

<file path=xl/drawings/_rels/drawing3.xml.rels><?xml version="1.0" encoding="UTF-8" standalone="no"?>
<Relationships xmlns="http://schemas.openxmlformats.org/package/2006/relationships">
<Relationship Id="rId1" Target="../charts/chart7.xml" Type="http://schemas.openxmlformats.org/officeDocument/2006/relationships/chart"/>
</Relationships>

</file>

<file path=xl/drawings/_rels/drawing4.xml.rels><?xml version="1.0" encoding="UTF-8" standalone="no"?>
<Relationships xmlns="http://schemas.openxmlformats.org/package/2006/relationships">
<Relationship Id="rId1" Target="../charts/chart8.xml" Type="http://schemas.openxmlformats.org/officeDocument/2006/relationships/chart"/>
</Relationships>

</file>

<file path=xl/drawings/_rels/drawing5.xml.rels><?xml version="1.0" encoding="UTF-8" standalone="no"?>
<Relationships xmlns="http://schemas.openxmlformats.org/package/2006/relationships">
<Relationship Id="rId1" Target="../charts/chart9.xml" Type="http://schemas.openxmlformats.org/officeDocument/2006/relationships/chart"/>
<Relationship Id="rId2" Target="../charts/chart10.xml" Type="http://schemas.openxmlformats.org/officeDocument/2006/relationships/chart"/>
<Relationship Id="rId3" Target="../charts/chart1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190499</xdr:colOff>
      <xdr:row>0</xdr:row>
      <xdr:rowOff>128586</xdr:rowOff>
    </xdr:from>
    <xdr:to>
      <xdr:col>19</xdr:col>
      <xdr:colOff>390524</xdr:colOff>
      <xdr:row>21</xdr:row>
      <xdr:rowOff>2856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409574</xdr:colOff>
      <xdr:row>0</xdr:row>
      <xdr:rowOff>123824</xdr:rowOff>
    </xdr:from>
    <xdr:to>
      <xdr:col>32</xdr:col>
      <xdr:colOff>596899</xdr:colOff>
      <xdr:row>20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197642</xdr:colOff>
      <xdr:row>21</xdr:row>
      <xdr:rowOff>0</xdr:rowOff>
    </xdr:from>
    <xdr:to>
      <xdr:col>32</xdr:col>
      <xdr:colOff>595313</xdr:colOff>
      <xdr:row>71</xdr:row>
      <xdr:rowOff>58092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444499</xdr:colOff>
      <xdr:row>8</xdr:row>
      <xdr:rowOff>106361</xdr:rowOff>
    </xdr:from>
    <xdr:to>
      <xdr:col>17</xdr:col>
      <xdr:colOff>570842</xdr:colOff>
      <xdr:row>45</xdr:row>
      <xdr:rowOff>171451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419100</xdr:colOff>
      <xdr:row>46</xdr:row>
      <xdr:rowOff>139474</xdr:rowOff>
    </xdr:from>
    <xdr:to>
      <xdr:col>17</xdr:col>
      <xdr:colOff>31131</xdr:colOff>
      <xdr:row>84</xdr:row>
      <xdr:rowOff>149768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8</xdr:row>
      <xdr:rowOff>0</xdr:rowOff>
    </xdr:from>
    <xdr:to>
      <xdr:col>37</xdr:col>
      <xdr:colOff>545481</xdr:colOff>
      <xdr:row>46</xdr:row>
      <xdr:rowOff>10294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82935" cy="63085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444499</xdr:colOff>
      <xdr:row>8</xdr:row>
      <xdr:rowOff>106361</xdr:rowOff>
    </xdr:from>
    <xdr:to>
      <xdr:col>17</xdr:col>
      <xdr:colOff>570842</xdr:colOff>
      <xdr:row>45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444499</xdr:colOff>
      <xdr:row>8</xdr:row>
      <xdr:rowOff>106361</xdr:rowOff>
    </xdr:from>
    <xdr:to>
      <xdr:col>17</xdr:col>
      <xdr:colOff>570842</xdr:colOff>
      <xdr:row>45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419100</xdr:colOff>
      <xdr:row>46</xdr:row>
      <xdr:rowOff>139474</xdr:rowOff>
    </xdr:from>
    <xdr:to>
      <xdr:col>17</xdr:col>
      <xdr:colOff>31131</xdr:colOff>
      <xdr:row>84</xdr:row>
      <xdr:rowOff>149768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8</xdr:row>
      <xdr:rowOff>0</xdr:rowOff>
    </xdr:from>
    <xdr:to>
      <xdr:col>37</xdr:col>
      <xdr:colOff>545481</xdr:colOff>
      <xdr:row>46</xdr:row>
      <xdr:rowOff>10294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11.xml.rels><?xml version="1.0" encoding="UTF-8" standalone="no"?>
<Relationships xmlns="http://schemas.openxmlformats.org/package/2006/relationships">
<Relationship Id="rId1" Target="../drawings/drawing5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7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8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_rels/sheet9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8"/>
  <sheetViews>
    <sheetView tabSelected="1" zoomScale="70" zoomScaleNormal="70" workbookViewId="0">
      <pane xSplit="2" ySplit="3" topLeftCell="C4" activePane="bottomRight" state="frozen"/>
      <selection pane="topRight" activeCell="B1" sqref="B1"/>
      <selection pane="bottomLeft" activeCell="A2" sqref="A2"/>
      <selection pane="bottomRight" activeCell="A93" sqref="A93"/>
    </sheetView>
  </sheetViews>
  <sheetFormatPr defaultColWidth="9.140625" defaultRowHeight="22.5" customHeight="1" x14ac:dyDescent="0.25"/>
  <cols>
    <col min="1" max="1" width="10.28515625" style="16" bestFit="1" customWidth="1"/>
    <col min="2" max="2" width="37.42578125" style="16" customWidth="1"/>
    <col min="3" max="3" width="30.85546875" style="16" customWidth="1"/>
    <col min="4" max="4" width="19.28515625" style="16" bestFit="1" customWidth="1"/>
    <col min="5" max="5" width="17" style="16" customWidth="1"/>
    <col min="6" max="6" width="19.140625" style="16" customWidth="1"/>
    <col min="7" max="7" width="17.28515625" style="16" customWidth="1"/>
    <col min="8" max="8" width="12.85546875" style="16" bestFit="1" customWidth="1"/>
    <col min="9" max="9" width="12.5703125" style="16" customWidth="1"/>
    <col min="10" max="10" width="21.42578125" style="16" customWidth="1"/>
    <col min="11" max="11" width="17.28515625" style="16" bestFit="1" customWidth="1"/>
    <col min="12" max="12" width="18.140625" style="16" bestFit="1" customWidth="1"/>
    <col min="13" max="13" width="27.42578125" style="16" bestFit="1" customWidth="1"/>
    <col min="14" max="14" width="21.140625" style="16" customWidth="1"/>
    <col min="15" max="19" width="22" style="16" customWidth="1"/>
    <col min="20" max="20" width="20.42578125" style="16" bestFit="1" customWidth="1"/>
    <col min="21" max="21" width="17.28515625" style="16" customWidth="1"/>
    <col min="22" max="22" width="24.42578125" style="16" bestFit="1" customWidth="1"/>
    <col min="23" max="23" width="23" style="16" bestFit="1" customWidth="1"/>
    <col min="24" max="24" width="30" style="16" bestFit="1" customWidth="1"/>
    <col min="25" max="25" width="31.7109375" style="16" bestFit="1" customWidth="1"/>
    <col min="26" max="27" width="31.7109375" style="16" customWidth="1"/>
    <col min="28" max="28" width="13.85546875" style="16" bestFit="1" customWidth="1"/>
    <col min="29" max="29" width="11" style="16" bestFit="1" customWidth="1"/>
    <col min="30" max="16384" width="9.140625" style="16"/>
  </cols>
  <sheetData>
    <row r="1" spans="2:29" ht="22.5" customHeight="1" x14ac:dyDescent="0.25">
      <c r="B1" s="141">
        <v>42856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2:29" ht="22.5" customHeight="1" thickBot="1" x14ac:dyDescent="0.3">
      <c r="B2" s="104" t="s">
        <v>144</v>
      </c>
      <c r="C2" s="87"/>
      <c r="D2" s="87"/>
      <c r="E2" s="87"/>
      <c r="F2" s="87"/>
      <c r="G2" s="87"/>
      <c r="H2" s="142"/>
      <c r="I2" s="87"/>
      <c r="J2" s="87"/>
      <c r="K2" s="87"/>
      <c r="L2" s="87"/>
      <c r="M2" s="87"/>
      <c r="N2" s="87"/>
      <c r="O2" s="88"/>
      <c r="P2" s="88"/>
      <c r="Q2" s="88"/>
      <c r="R2" s="88"/>
      <c r="S2" s="88"/>
      <c r="T2" s="87"/>
      <c r="U2" s="87"/>
      <c r="V2" s="87"/>
    </row>
    <row r="3" spans="2:29" ht="22.5" customHeight="1" thickBot="1" x14ac:dyDescent="0.3">
      <c r="B3" s="94" t="s">
        <v>145</v>
      </c>
      <c r="C3" s="95" t="s">
        <v>128</v>
      </c>
      <c r="D3" s="95" t="s">
        <v>25</v>
      </c>
      <c r="E3" s="95" t="s">
        <v>101</v>
      </c>
      <c r="F3" s="95" t="s">
        <v>174</v>
      </c>
      <c r="G3" s="95" t="s">
        <v>40</v>
      </c>
      <c r="H3" s="95" t="s">
        <v>17</v>
      </c>
      <c r="I3" s="95" t="s">
        <v>122</v>
      </c>
      <c r="J3" s="95" t="s">
        <v>172</v>
      </c>
      <c r="K3" s="95" t="s">
        <v>39</v>
      </c>
      <c r="L3" s="95" t="s">
        <v>171</v>
      </c>
      <c r="M3" s="95" t="s">
        <v>173</v>
      </c>
      <c r="N3" s="95" t="s">
        <v>41</v>
      </c>
      <c r="O3" s="96" t="s">
        <v>175</v>
      </c>
      <c r="P3" s="117" t="s">
        <v>261</v>
      </c>
      <c r="Q3" s="117" t="s">
        <v>287</v>
      </c>
      <c r="R3" s="117" t="s">
        <v>288</v>
      </c>
      <c r="S3" s="117" t="s">
        <v>289</v>
      </c>
      <c r="T3" s="16" t="s">
        <v>34</v>
      </c>
      <c r="U3" s="16" t="s">
        <v>18</v>
      </c>
      <c r="V3" s="16" t="s">
        <v>19</v>
      </c>
      <c r="W3" s="16" t="s">
        <v>20</v>
      </c>
      <c r="X3" s="16" t="s">
        <v>21</v>
      </c>
      <c r="Y3" s="16" t="s">
        <v>22</v>
      </c>
      <c r="Z3" s="16" t="s">
        <v>95</v>
      </c>
      <c r="AA3" s="16" t="s">
        <v>94</v>
      </c>
    </row>
    <row r="4" spans="2:29" ht="8.25" hidden="1" customHeight="1" x14ac:dyDescent="0.25">
      <c r="B4" s="97" t="s">
        <v>92</v>
      </c>
      <c r="C4" s="59"/>
      <c r="D4" s="92">
        <v>0</v>
      </c>
      <c r="E4" s="67">
        <f>F4/J4</f>
        <v>0</v>
      </c>
      <c r="F4" s="59">
        <v>0</v>
      </c>
      <c r="G4" s="93">
        <v>0</v>
      </c>
      <c r="H4" s="63">
        <v>0</v>
      </c>
      <c r="I4" s="63"/>
      <c r="J4" s="64">
        <v>141.55000000000001</v>
      </c>
      <c r="K4" s="65">
        <v>143.78</v>
      </c>
      <c r="L4" s="79">
        <f t="shared" ref="L4:L31" si="0">J4*G4</f>
        <v>0</v>
      </c>
      <c r="M4" s="79">
        <f t="shared" ref="M4:M31" si="1">K4*H4</f>
        <v>0</v>
      </c>
      <c r="N4" s="67" t="e">
        <f>M4/L4-1</f>
        <v>#DIV/0!</v>
      </c>
      <c r="O4" s="98"/>
      <c r="P4" s="250"/>
      <c r="Q4" s="250"/>
      <c r="R4" s="250"/>
      <c r="S4" s="250"/>
      <c r="U4" s="22">
        <v>3</v>
      </c>
      <c r="Z4" s="16">
        <v>1210000000</v>
      </c>
      <c r="AA4" s="23">
        <f t="shared" ref="AA4:AA11" si="2">(H4/Z4)</f>
        <v>0</v>
      </c>
    </row>
    <row r="5" spans="2:29" ht="26.25" customHeight="1" x14ac:dyDescent="0.25">
      <c r="B5" s="97" t="s">
        <v>182</v>
      </c>
      <c r="C5" s="59" t="s">
        <v>182</v>
      </c>
      <c r="D5" s="92"/>
      <c r="E5" s="67"/>
      <c r="F5" s="59"/>
      <c r="G5" s="93">
        <v>404.93</v>
      </c>
      <c r="H5" s="63">
        <v>404.93</v>
      </c>
      <c r="I5" s="63"/>
      <c r="J5" s="64">
        <v>1</v>
      </c>
      <c r="K5" s="65">
        <v>1</v>
      </c>
      <c r="L5" s="21">
        <f t="shared" si="0"/>
        <v>404.93</v>
      </c>
      <c r="M5" s="21">
        <f t="shared" si="1"/>
        <v>404.93</v>
      </c>
      <c r="N5" s="18"/>
      <c r="O5" s="98"/>
      <c r="P5" s="250"/>
      <c r="Q5" s="250"/>
      <c r="R5" s="250"/>
      <c r="S5" s="250"/>
      <c r="U5" s="22"/>
      <c r="AA5" s="23"/>
    </row>
    <row r="6" spans="2:29" ht="22.5" customHeight="1" x14ac:dyDescent="0.25">
      <c r="B6" s="99" t="s">
        <v>107</v>
      </c>
      <c r="C6" s="17" t="s">
        <v>146</v>
      </c>
      <c r="D6" s="31">
        <f t="shared" ref="D6:D31" si="3">F6/K6</f>
        <v>0</v>
      </c>
      <c r="E6" s="31">
        <f t="shared" ref="E6:E31" si="4">(H6*F6)/L6</f>
        <v>0</v>
      </c>
      <c r="F6" s="47"/>
      <c r="G6" s="48">
        <v>100</v>
      </c>
      <c r="H6" s="19">
        <v>100</v>
      </c>
      <c r="I6" s="50">
        <f t="shared" ref="I6:I30" si="5">(H6*F6/4)/K6</f>
        <v>0</v>
      </c>
      <c r="J6" s="51">
        <v>12.25</v>
      </c>
      <c r="K6" s="20">
        <v>4.8600000000000003</v>
      </c>
      <c r="L6" s="21">
        <f t="shared" si="0"/>
        <v>1225</v>
      </c>
      <c r="M6" s="21">
        <f t="shared" si="1"/>
        <v>486.00000000000006</v>
      </c>
      <c r="N6" s="18">
        <f>M6/L6-1</f>
        <v>-0.60326530612244889</v>
      </c>
      <c r="O6" s="100">
        <f t="shared" ref="O6:O31" si="6">F6*H6</f>
        <v>0</v>
      </c>
      <c r="P6" s="251" t="s">
        <v>265</v>
      </c>
      <c r="Q6" s="280">
        <v>5.89</v>
      </c>
      <c r="R6" s="280">
        <v>27.52</v>
      </c>
      <c r="S6" s="281">
        <f>Q6/R6-1</f>
        <v>-0.78597383720930236</v>
      </c>
      <c r="T6" s="24">
        <f t="shared" ref="T6:T31" si="7">K6*U6</f>
        <v>1088.154</v>
      </c>
      <c r="U6" s="22">
        <v>223.9</v>
      </c>
      <c r="V6" s="16">
        <f>H6*F6</f>
        <v>0</v>
      </c>
      <c r="W6" s="16">
        <f>U6*F6</f>
        <v>0</v>
      </c>
      <c r="X6" s="25">
        <f>V6/M6</f>
        <v>0</v>
      </c>
      <c r="Y6" s="16">
        <f>W6/M6</f>
        <v>0</v>
      </c>
      <c r="Z6" s="32">
        <v>906831000</v>
      </c>
      <c r="AA6" s="23">
        <f t="shared" si="2"/>
        <v>1.1027413046091279E-7</v>
      </c>
    </row>
    <row r="7" spans="2:29" ht="22.5" hidden="1" customHeight="1" x14ac:dyDescent="0.25">
      <c r="B7" s="99" t="s">
        <v>0</v>
      </c>
      <c r="C7" s="17"/>
      <c r="D7" s="31">
        <f t="shared" si="3"/>
        <v>1.9194515852613541E-2</v>
      </c>
      <c r="E7" s="31" t="e">
        <f t="shared" si="4"/>
        <v>#DIV/0!</v>
      </c>
      <c r="F7" s="20">
        <f>0.28*4</f>
        <v>1.1200000000000001</v>
      </c>
      <c r="G7" s="49">
        <v>0</v>
      </c>
      <c r="H7" s="19">
        <v>0</v>
      </c>
      <c r="I7" s="50">
        <f t="shared" si="5"/>
        <v>0</v>
      </c>
      <c r="J7" s="51">
        <v>56.73</v>
      </c>
      <c r="K7" s="20">
        <v>58.35</v>
      </c>
      <c r="L7" s="21">
        <f t="shared" si="0"/>
        <v>0</v>
      </c>
      <c r="M7" s="21">
        <f t="shared" si="1"/>
        <v>0</v>
      </c>
      <c r="N7" s="18" t="e">
        <f>M7/L7-1</f>
        <v>#DIV/0!</v>
      </c>
      <c r="O7" s="100">
        <f t="shared" si="6"/>
        <v>0</v>
      </c>
      <c r="P7" s="251"/>
      <c r="Q7" s="280"/>
      <c r="R7" s="280"/>
      <c r="S7" s="251"/>
      <c r="T7" s="24">
        <f t="shared" si="7"/>
        <v>1001.2860000000001</v>
      </c>
      <c r="U7" s="22">
        <v>17.16</v>
      </c>
      <c r="V7" s="16">
        <f>H7*F7</f>
        <v>0</v>
      </c>
      <c r="W7" s="16">
        <f>U7*F7</f>
        <v>19.219200000000001</v>
      </c>
      <c r="X7" s="16" t="e">
        <f>V7/M7</f>
        <v>#DIV/0!</v>
      </c>
      <c r="Y7" s="16" t="e">
        <f>W7/M7</f>
        <v>#DIV/0!</v>
      </c>
      <c r="Z7" s="32">
        <v>465300000</v>
      </c>
      <c r="AA7" s="23">
        <f t="shared" si="2"/>
        <v>0</v>
      </c>
    </row>
    <row r="8" spans="2:29" ht="22.5" hidden="1" customHeight="1" x14ac:dyDescent="0.25">
      <c r="B8" s="99" t="s">
        <v>103</v>
      </c>
      <c r="C8" s="17"/>
      <c r="D8" s="31">
        <f t="shared" si="3"/>
        <v>1.8465451462484104E-2</v>
      </c>
      <c r="E8" s="31" t="e">
        <f t="shared" si="4"/>
        <v>#DIV/0!</v>
      </c>
      <c r="F8" s="20">
        <v>0.43559999999999999</v>
      </c>
      <c r="G8" s="49"/>
      <c r="H8" s="19"/>
      <c r="I8" s="50">
        <f t="shared" si="5"/>
        <v>0</v>
      </c>
      <c r="J8" s="51">
        <v>23.04</v>
      </c>
      <c r="K8" s="20">
        <v>23.59</v>
      </c>
      <c r="L8" s="21">
        <f t="shared" si="0"/>
        <v>0</v>
      </c>
      <c r="M8" s="21">
        <f t="shared" si="1"/>
        <v>0</v>
      </c>
      <c r="N8" s="18" t="e">
        <f>M8/L8-1</f>
        <v>#DIV/0!</v>
      </c>
      <c r="O8" s="100">
        <f t="shared" si="6"/>
        <v>0</v>
      </c>
      <c r="P8" s="251"/>
      <c r="Q8" s="280"/>
      <c r="R8" s="280"/>
      <c r="S8" s="251"/>
      <c r="T8" s="24">
        <f t="shared" si="7"/>
        <v>228.11529999999999</v>
      </c>
      <c r="U8" s="22">
        <v>9.67</v>
      </c>
      <c r="V8" s="16">
        <f>H8*F8</f>
        <v>0</v>
      </c>
      <c r="W8" s="16">
        <f>U8*F8</f>
        <v>4.2122519999999994</v>
      </c>
      <c r="X8" s="16" t="e">
        <f>V8/M8</f>
        <v>#DIV/0!</v>
      </c>
      <c r="Y8" s="16" t="e">
        <f>W8/M8</f>
        <v>#DIV/0!</v>
      </c>
      <c r="Z8" s="32"/>
      <c r="AA8" s="23" t="e">
        <f t="shared" si="2"/>
        <v>#DIV/0!</v>
      </c>
    </row>
    <row r="9" spans="2:29" ht="22.5" customHeight="1" x14ac:dyDescent="0.25">
      <c r="B9" s="99" t="s">
        <v>200</v>
      </c>
      <c r="C9" s="17" t="s">
        <v>201</v>
      </c>
      <c r="D9" s="31">
        <f t="shared" si="3"/>
        <v>3.7535699714402286E-2</v>
      </c>
      <c r="E9" s="31">
        <f t="shared" si="4"/>
        <v>3.8805249613998963E-2</v>
      </c>
      <c r="F9" s="20">
        <v>0.92</v>
      </c>
      <c r="G9" s="49">
        <v>16</v>
      </c>
      <c r="H9" s="19">
        <v>16.390999999999998</v>
      </c>
      <c r="I9" s="50">
        <f t="shared" si="5"/>
        <v>0.15381191350469192</v>
      </c>
      <c r="J9" s="51">
        <f>(25.36*5+(67.5))/8</f>
        <v>24.287500000000001</v>
      </c>
      <c r="K9" s="20">
        <v>24.51</v>
      </c>
      <c r="L9" s="21">
        <f t="shared" si="0"/>
        <v>388.6</v>
      </c>
      <c r="M9" s="21">
        <f t="shared" si="1"/>
        <v>401.74340999999998</v>
      </c>
      <c r="N9" s="18">
        <f>M9/L9-1</f>
        <v>3.3822465259907286E-2</v>
      </c>
      <c r="O9" s="100">
        <f t="shared" si="6"/>
        <v>15.079719999999998</v>
      </c>
      <c r="P9" s="251" t="s">
        <v>266</v>
      </c>
      <c r="R9" s="25"/>
      <c r="T9" s="24">
        <f t="shared" si="7"/>
        <v>1838.2500000000002</v>
      </c>
      <c r="U9" s="22">
        <v>75</v>
      </c>
      <c r="V9" s="16">
        <f t="shared" ref="V9:V22" si="8">H9*F9</f>
        <v>15.079719999999998</v>
      </c>
      <c r="W9" s="16">
        <f t="shared" ref="W9:W22" si="9">U9*F9</f>
        <v>69</v>
      </c>
      <c r="X9" s="16">
        <f t="shared" ref="X9:X31" si="10">V9/M9</f>
        <v>3.7535699714402279E-2</v>
      </c>
      <c r="Y9" s="16">
        <f t="shared" ref="Y9:Y31" si="11">W9/M9</f>
        <v>0.17175141715454648</v>
      </c>
      <c r="Z9" s="32">
        <v>10850000</v>
      </c>
      <c r="AA9" s="23">
        <f t="shared" si="2"/>
        <v>1.5106912442396311E-6</v>
      </c>
    </row>
    <row r="10" spans="2:29" ht="22.5" customHeight="1" x14ac:dyDescent="0.25">
      <c r="B10" s="99" t="s">
        <v>1</v>
      </c>
      <c r="C10" s="17" t="s">
        <v>147</v>
      </c>
      <c r="D10" s="31">
        <f t="shared" si="3"/>
        <v>2.2959041515742545E-2</v>
      </c>
      <c r="E10" s="31">
        <f t="shared" si="4"/>
        <v>2.7444208577599504E-2</v>
      </c>
      <c r="F10" s="20">
        <f>0.618*4</f>
        <v>2.472</v>
      </c>
      <c r="G10" s="49">
        <v>20</v>
      </c>
      <c r="H10" s="19">
        <v>21.588999999999999</v>
      </c>
      <c r="I10" s="50">
        <f t="shared" si="5"/>
        <v>0.12391568682084145</v>
      </c>
      <c r="J10" s="51">
        <v>97.23</v>
      </c>
      <c r="K10" s="20">
        <v>107.67</v>
      </c>
      <c r="L10" s="27">
        <f t="shared" si="0"/>
        <v>1944.6000000000001</v>
      </c>
      <c r="M10" s="26">
        <f t="shared" si="1"/>
        <v>2324.4876300000001</v>
      </c>
      <c r="N10" s="18">
        <f t="shared" ref="N10:N31" si="12">M10/L10-1</f>
        <v>0.19535515273063875</v>
      </c>
      <c r="O10" s="100">
        <f t="shared" si="6"/>
        <v>53.368007999999996</v>
      </c>
      <c r="P10" s="251" t="s">
        <v>264</v>
      </c>
      <c r="Q10" s="280">
        <v>38.97</v>
      </c>
      <c r="R10" s="280">
        <v>30.07</v>
      </c>
      <c r="S10" s="281">
        <f>Q10/R10-1</f>
        <v>0.29597605586963738</v>
      </c>
      <c r="T10" s="24">
        <f t="shared" si="7"/>
        <v>11520.69</v>
      </c>
      <c r="U10" s="22">
        <v>107</v>
      </c>
      <c r="V10" s="16">
        <f t="shared" si="8"/>
        <v>53.368007999999996</v>
      </c>
      <c r="W10" s="16">
        <f t="shared" si="9"/>
        <v>264.50400000000002</v>
      </c>
      <c r="X10" s="16">
        <f t="shared" si="10"/>
        <v>2.2959041515742545E-2</v>
      </c>
      <c r="Y10" s="16">
        <f t="shared" si="11"/>
        <v>0.11379023772219429</v>
      </c>
      <c r="Z10" s="32">
        <v>212690000</v>
      </c>
      <c r="AA10" s="23">
        <f t="shared" si="2"/>
        <v>1.0150453711975174E-7</v>
      </c>
    </row>
    <row r="11" spans="2:29" ht="22.5" customHeight="1" x14ac:dyDescent="0.25">
      <c r="B11" s="99" t="s">
        <v>2</v>
      </c>
      <c r="C11" s="17" t="s">
        <v>148</v>
      </c>
      <c r="D11" s="31">
        <f t="shared" si="3"/>
        <v>0.11741682974559686</v>
      </c>
      <c r="E11" s="31">
        <f t="shared" si="4"/>
        <v>7.9391589621234701E-2</v>
      </c>
      <c r="F11" s="20">
        <f>1.5*4</f>
        <v>6</v>
      </c>
      <c r="G11" s="49">
        <v>5</v>
      </c>
      <c r="H11" s="19">
        <v>6.6550000000000002</v>
      </c>
      <c r="I11" s="50">
        <f t="shared" si="5"/>
        <v>0.1953522504892368</v>
      </c>
      <c r="J11" s="51">
        <v>100.59</v>
      </c>
      <c r="K11" s="20">
        <v>51.1</v>
      </c>
      <c r="L11" s="27">
        <f t="shared" si="0"/>
        <v>502.95000000000005</v>
      </c>
      <c r="M11" s="26">
        <f t="shared" si="1"/>
        <v>340.07050000000004</v>
      </c>
      <c r="N11" s="18">
        <f t="shared" si="12"/>
        <v>-0.32384829505915103</v>
      </c>
      <c r="O11" s="100">
        <f t="shared" si="6"/>
        <v>39.93</v>
      </c>
      <c r="P11" s="251" t="s">
        <v>273</v>
      </c>
      <c r="Q11" s="280"/>
      <c r="R11" s="280"/>
      <c r="S11" s="251"/>
      <c r="T11" s="24">
        <f t="shared" si="7"/>
        <v>28462.7</v>
      </c>
      <c r="U11" s="22">
        <v>557</v>
      </c>
      <c r="V11" s="16">
        <f t="shared" si="8"/>
        <v>39.93</v>
      </c>
      <c r="W11" s="16">
        <f t="shared" si="9"/>
        <v>3342</v>
      </c>
      <c r="X11" s="16">
        <f t="shared" si="10"/>
        <v>0.11741682974559685</v>
      </c>
      <c r="Y11" s="16">
        <f t="shared" si="11"/>
        <v>9.8273740297967613</v>
      </c>
      <c r="Z11" s="32">
        <v>155912000</v>
      </c>
      <c r="AA11" s="23">
        <f t="shared" si="2"/>
        <v>4.2684334752937554E-8</v>
      </c>
    </row>
    <row r="12" spans="2:29" ht="22.5" hidden="1" customHeight="1" x14ac:dyDescent="0.25">
      <c r="B12" s="99" t="s">
        <v>3</v>
      </c>
      <c r="C12" s="17"/>
      <c r="D12" s="31">
        <f t="shared" si="3"/>
        <v>1.7830289017341041E-2</v>
      </c>
      <c r="E12" s="31" t="e">
        <f t="shared" si="4"/>
        <v>#DIV/0!</v>
      </c>
      <c r="F12" s="20">
        <f>0.0176*96.395</f>
        <v>1.6965520000000001</v>
      </c>
      <c r="G12" s="49">
        <v>0</v>
      </c>
      <c r="H12" s="19">
        <v>0</v>
      </c>
      <c r="I12" s="50">
        <f t="shared" si="5"/>
        <v>0</v>
      </c>
      <c r="J12" s="51">
        <v>96.28</v>
      </c>
      <c r="K12" s="20">
        <v>95.15</v>
      </c>
      <c r="L12" s="27">
        <f t="shared" si="0"/>
        <v>0</v>
      </c>
      <c r="M12" s="26">
        <f t="shared" si="1"/>
        <v>0</v>
      </c>
      <c r="N12" s="18" t="e">
        <f t="shared" si="12"/>
        <v>#DIV/0!</v>
      </c>
      <c r="O12" s="100">
        <f t="shared" si="6"/>
        <v>0</v>
      </c>
      <c r="P12" s="251"/>
      <c r="Q12" s="280"/>
      <c r="R12" s="280"/>
      <c r="S12" s="251"/>
      <c r="T12" s="24">
        <f t="shared" si="7"/>
        <v>354.90950000000004</v>
      </c>
      <c r="U12" s="22">
        <v>3.73</v>
      </c>
      <c r="V12" s="16">
        <f t="shared" si="8"/>
        <v>0</v>
      </c>
      <c r="W12" s="16">
        <f t="shared" si="9"/>
        <v>6.3281389600000004</v>
      </c>
      <c r="X12" s="16" t="e">
        <f t="shared" si="10"/>
        <v>#DIV/0!</v>
      </c>
      <c r="Y12" s="16" t="e">
        <f t="shared" si="11"/>
        <v>#DIV/0!</v>
      </c>
      <c r="Z12" s="32"/>
      <c r="AA12" s="23"/>
    </row>
    <row r="13" spans="2:29" ht="22.5" hidden="1" customHeight="1" x14ac:dyDescent="0.25">
      <c r="B13" s="99" t="s">
        <v>125</v>
      </c>
      <c r="C13" s="17" t="s">
        <v>149</v>
      </c>
      <c r="D13" s="31">
        <f t="shared" si="3"/>
        <v>2.7962250961202379E-2</v>
      </c>
      <c r="E13" s="31" t="e">
        <f t="shared" si="4"/>
        <v>#DIV/0!</v>
      </c>
      <c r="F13" s="20">
        <f>0.8*4</f>
        <v>3.2</v>
      </c>
      <c r="G13" s="49">
        <v>0</v>
      </c>
      <c r="H13" s="19">
        <v>0</v>
      </c>
      <c r="I13" s="50">
        <f t="shared" si="5"/>
        <v>0</v>
      </c>
      <c r="J13" s="51">
        <v>98.28</v>
      </c>
      <c r="K13" s="20">
        <v>114.44</v>
      </c>
      <c r="L13" s="27">
        <f t="shared" si="0"/>
        <v>0</v>
      </c>
      <c r="M13" s="26">
        <f t="shared" si="1"/>
        <v>0</v>
      </c>
      <c r="N13" s="18" t="e">
        <f t="shared" si="12"/>
        <v>#DIV/0!</v>
      </c>
      <c r="O13" s="100">
        <f t="shared" si="6"/>
        <v>0</v>
      </c>
      <c r="P13" s="251"/>
      <c r="Q13" s="280"/>
      <c r="R13" s="280"/>
      <c r="S13" s="251"/>
      <c r="T13" s="24">
        <f t="shared" si="7"/>
        <v>24947.919999999998</v>
      </c>
      <c r="U13" s="22">
        <v>218</v>
      </c>
      <c r="V13" s="16">
        <f t="shared" si="8"/>
        <v>0</v>
      </c>
      <c r="W13" s="16">
        <f t="shared" si="9"/>
        <v>697.6</v>
      </c>
      <c r="X13" s="16" t="e">
        <f t="shared" si="10"/>
        <v>#DIV/0!</v>
      </c>
      <c r="Y13" s="16" t="e">
        <f t="shared" si="11"/>
        <v>#DIV/0!</v>
      </c>
      <c r="Z13" s="32"/>
      <c r="AA13" s="23"/>
    </row>
    <row r="14" spans="2:29" ht="22.5" customHeight="1" x14ac:dyDescent="0.25">
      <c r="B14" s="99" t="s">
        <v>97</v>
      </c>
      <c r="C14" s="17" t="s">
        <v>134</v>
      </c>
      <c r="D14" s="31">
        <f t="shared" si="3"/>
        <v>2.6288117770767613E-2</v>
      </c>
      <c r="E14" s="31">
        <f t="shared" si="4"/>
        <v>1.5911730891762874E-2</v>
      </c>
      <c r="F14" s="20">
        <f>0.125*4</f>
        <v>0.5</v>
      </c>
      <c r="G14" s="49">
        <v>105.01</v>
      </c>
      <c r="H14" s="19">
        <v>112.202</v>
      </c>
      <c r="I14" s="50">
        <f t="shared" si="5"/>
        <v>0.73739484752891693</v>
      </c>
      <c r="J14" s="51">
        <f>((25.01*41.35)+(25*40.84)+(15*37.4)+(40*22.74))/105.01</f>
        <v>33.575502333111132</v>
      </c>
      <c r="K14" s="20">
        <v>19.02</v>
      </c>
      <c r="L14" s="27">
        <f t="shared" si="0"/>
        <v>3525.7635</v>
      </c>
      <c r="M14" s="26">
        <f t="shared" si="1"/>
        <v>2134.0820399999998</v>
      </c>
      <c r="N14" s="18">
        <f t="shared" si="12"/>
        <v>-0.39471775687734023</v>
      </c>
      <c r="O14" s="100">
        <f t="shared" si="6"/>
        <v>56.100999999999999</v>
      </c>
      <c r="P14" s="251" t="s">
        <v>265</v>
      </c>
      <c r="Q14" s="280">
        <v>28.07</v>
      </c>
      <c r="R14" s="280">
        <v>304.3</v>
      </c>
      <c r="S14" s="281">
        <f>Q14/R14-1</f>
        <v>-0.9077555044364114</v>
      </c>
      <c r="T14" s="24">
        <f t="shared" si="7"/>
        <v>30260.82</v>
      </c>
      <c r="U14" s="22">
        <v>1591</v>
      </c>
      <c r="V14" s="16">
        <f t="shared" si="8"/>
        <v>56.100999999999999</v>
      </c>
      <c r="W14" s="16">
        <f t="shared" si="9"/>
        <v>795.5</v>
      </c>
      <c r="X14" s="16">
        <f t="shared" si="10"/>
        <v>2.6288117770767616E-2</v>
      </c>
      <c r="Y14" s="16">
        <f t="shared" si="11"/>
        <v>0.37275980261752267</v>
      </c>
      <c r="Z14" s="32">
        <v>2232442000</v>
      </c>
      <c r="AA14" s="23">
        <f t="shared" ref="AA14:AA31" si="13">(H14/Z14)</f>
        <v>5.0259760387951847E-8</v>
      </c>
      <c r="AC14" s="29"/>
    </row>
    <row r="15" spans="2:29" ht="22.5" customHeight="1" x14ac:dyDescent="0.25">
      <c r="B15" s="274" t="s">
        <v>281</v>
      </c>
      <c r="C15" s="17" t="s">
        <v>282</v>
      </c>
      <c r="D15" s="31">
        <f t="shared" si="3"/>
        <v>0</v>
      </c>
      <c r="E15" s="31">
        <f t="shared" si="4"/>
        <v>0</v>
      </c>
      <c r="F15" s="20">
        <v>0</v>
      </c>
      <c r="G15" s="49">
        <v>487</v>
      </c>
      <c r="H15" s="19">
        <v>487</v>
      </c>
      <c r="I15" s="50">
        <f t="shared" si="5"/>
        <v>0</v>
      </c>
      <c r="J15" s="51">
        <v>5.13</v>
      </c>
      <c r="K15" s="20">
        <v>4.68</v>
      </c>
      <c r="L15" s="27">
        <f t="shared" si="0"/>
        <v>2498.31</v>
      </c>
      <c r="M15" s="26">
        <f t="shared" si="1"/>
        <v>2279.16</v>
      </c>
      <c r="N15" s="18">
        <f t="shared" si="12"/>
        <v>-8.7719298245614086E-2</v>
      </c>
      <c r="O15" s="100">
        <f t="shared" si="6"/>
        <v>0</v>
      </c>
      <c r="P15" s="251" t="s">
        <v>265</v>
      </c>
      <c r="Q15" s="280"/>
      <c r="R15" s="280"/>
      <c r="S15" s="251"/>
      <c r="T15" s="24"/>
      <c r="U15" s="22"/>
      <c r="Z15" s="32">
        <v>50420000</v>
      </c>
      <c r="AA15" s="23">
        <f t="shared" si="13"/>
        <v>9.6588655295517655E-6</v>
      </c>
      <c r="AC15" s="29"/>
    </row>
    <row r="16" spans="2:29" ht="22.5" customHeight="1" x14ac:dyDescent="0.25">
      <c r="B16" s="99" t="s">
        <v>86</v>
      </c>
      <c r="C16" s="17" t="s">
        <v>132</v>
      </c>
      <c r="D16" s="31">
        <f t="shared" si="3"/>
        <v>4.4675233233585632E-2</v>
      </c>
      <c r="E16" s="31">
        <f t="shared" si="4"/>
        <v>4.6413927804213717E-2</v>
      </c>
      <c r="F16" s="20">
        <f>0.2115*12</f>
        <v>2.5379999999999998</v>
      </c>
      <c r="G16" s="49">
        <v>110</v>
      </c>
      <c r="H16" s="19">
        <v>112.797</v>
      </c>
      <c r="I16" s="50">
        <f t="shared" si="5"/>
        <v>1.2598080707621895</v>
      </c>
      <c r="J16" s="51">
        <f>(56*110+7.95)/110</f>
        <v>56.072272727272725</v>
      </c>
      <c r="K16" s="20">
        <v>56.81</v>
      </c>
      <c r="L16" s="27">
        <f t="shared" si="0"/>
        <v>6167.95</v>
      </c>
      <c r="M16" s="26">
        <f t="shared" si="1"/>
        <v>6407.9975700000005</v>
      </c>
      <c r="N16" s="18">
        <f t="shared" si="12"/>
        <v>3.8918533710552206E-2</v>
      </c>
      <c r="O16" s="100">
        <f t="shared" si="6"/>
        <v>286.27878599999997</v>
      </c>
      <c r="P16" s="251" t="s">
        <v>274</v>
      </c>
      <c r="Q16" s="280">
        <v>49.71</v>
      </c>
      <c r="R16" s="280">
        <v>52.75</v>
      </c>
      <c r="S16" s="281">
        <f>Q16/R16-1</f>
        <v>-5.7630331753554476E-2</v>
      </c>
      <c r="T16" s="24">
        <f t="shared" si="7"/>
        <v>113620</v>
      </c>
      <c r="U16" s="22">
        <v>2000</v>
      </c>
      <c r="V16" s="16">
        <f t="shared" si="8"/>
        <v>286.27878599999997</v>
      </c>
      <c r="W16" s="16">
        <f t="shared" si="9"/>
        <v>5076</v>
      </c>
      <c r="X16" s="16">
        <f t="shared" si="10"/>
        <v>4.4675233233585632E-2</v>
      </c>
      <c r="Y16" s="16">
        <f t="shared" si="11"/>
        <v>0.79213513184899653</v>
      </c>
      <c r="Z16" s="32">
        <v>271110000</v>
      </c>
      <c r="AA16" s="23">
        <f t="shared" si="13"/>
        <v>4.1605621334513666E-7</v>
      </c>
      <c r="AC16" s="29"/>
    </row>
    <row r="17" spans="2:30" ht="22.5" hidden="1" customHeight="1" x14ac:dyDescent="0.25">
      <c r="B17" s="99" t="s">
        <v>91</v>
      </c>
      <c r="C17" s="17"/>
      <c r="D17" s="31">
        <f t="shared" si="3"/>
        <v>4.9433573635427386E-2</v>
      </c>
      <c r="E17" s="31" t="e">
        <f t="shared" si="4"/>
        <v>#DIV/0!</v>
      </c>
      <c r="F17" s="20">
        <v>0.48</v>
      </c>
      <c r="G17" s="49">
        <v>0</v>
      </c>
      <c r="H17" s="19">
        <v>0</v>
      </c>
      <c r="I17" s="50">
        <f t="shared" si="5"/>
        <v>0</v>
      </c>
      <c r="J17" s="51">
        <v>12.66</v>
      </c>
      <c r="K17" s="20">
        <v>9.7100000000000009</v>
      </c>
      <c r="L17" s="27">
        <f t="shared" si="0"/>
        <v>0</v>
      </c>
      <c r="M17" s="26">
        <f t="shared" si="1"/>
        <v>0</v>
      </c>
      <c r="N17" s="18" t="e">
        <f t="shared" si="12"/>
        <v>#DIV/0!</v>
      </c>
      <c r="O17" s="100">
        <f t="shared" si="6"/>
        <v>0</v>
      </c>
      <c r="P17" s="251"/>
      <c r="Q17" s="280"/>
      <c r="R17" s="280"/>
      <c r="S17" s="251"/>
      <c r="T17" s="24">
        <f t="shared" si="7"/>
        <v>301.98100000000005</v>
      </c>
      <c r="U17" s="22">
        <v>31.1</v>
      </c>
      <c r="V17" s="16">
        <f t="shared" si="8"/>
        <v>0</v>
      </c>
      <c r="W17" s="16">
        <f t="shared" si="9"/>
        <v>14.928000000000001</v>
      </c>
      <c r="X17" s="16" t="e">
        <f t="shared" si="10"/>
        <v>#DIV/0!</v>
      </c>
      <c r="Y17" s="16" t="e">
        <f t="shared" si="11"/>
        <v>#DIV/0!</v>
      </c>
      <c r="Z17" s="32">
        <v>7440000000</v>
      </c>
      <c r="AA17" s="23">
        <f t="shared" si="13"/>
        <v>0</v>
      </c>
      <c r="AC17" s="29"/>
    </row>
    <row r="18" spans="2:30" ht="22.5" hidden="1" customHeight="1" x14ac:dyDescent="0.25">
      <c r="B18" s="99" t="s">
        <v>99</v>
      </c>
      <c r="C18" s="17"/>
      <c r="D18" s="31">
        <f t="shared" si="3"/>
        <v>0</v>
      </c>
      <c r="E18" s="31" t="e">
        <f t="shared" si="4"/>
        <v>#DIV/0!</v>
      </c>
      <c r="F18" s="20"/>
      <c r="G18" s="49">
        <v>0</v>
      </c>
      <c r="H18" s="19">
        <v>0</v>
      </c>
      <c r="I18" s="50">
        <f t="shared" si="5"/>
        <v>0</v>
      </c>
      <c r="J18" s="51">
        <v>12.15</v>
      </c>
      <c r="K18" s="20">
        <v>11.83</v>
      </c>
      <c r="L18" s="27">
        <f t="shared" si="0"/>
        <v>0</v>
      </c>
      <c r="M18" s="26">
        <f t="shared" si="1"/>
        <v>0</v>
      </c>
      <c r="N18" s="18" t="e">
        <f t="shared" si="12"/>
        <v>#DIV/0!</v>
      </c>
      <c r="O18" s="100">
        <f t="shared" si="6"/>
        <v>0</v>
      </c>
      <c r="P18" s="251"/>
      <c r="Q18" s="280"/>
      <c r="R18" s="280"/>
      <c r="S18" s="251"/>
      <c r="T18" s="24">
        <f t="shared" si="7"/>
        <v>0</v>
      </c>
      <c r="U18" s="22"/>
      <c r="V18" s="16">
        <f t="shared" si="8"/>
        <v>0</v>
      </c>
      <c r="W18" s="16">
        <f t="shared" si="9"/>
        <v>0</v>
      </c>
      <c r="X18" s="16" t="e">
        <f t="shared" si="10"/>
        <v>#DIV/0!</v>
      </c>
      <c r="Y18" s="16" t="e">
        <f t="shared" si="11"/>
        <v>#DIV/0!</v>
      </c>
      <c r="Z18" s="32"/>
      <c r="AA18" s="23" t="e">
        <f t="shared" si="13"/>
        <v>#DIV/0!</v>
      </c>
      <c r="AC18" s="29"/>
    </row>
    <row r="19" spans="2:30" ht="22.5" customHeight="1" x14ac:dyDescent="0.25">
      <c r="B19" s="99" t="s">
        <v>195</v>
      </c>
      <c r="C19" s="17" t="s">
        <v>193</v>
      </c>
      <c r="D19" s="31">
        <f t="shared" si="3"/>
        <v>7.0874288670460431E-2</v>
      </c>
      <c r="E19" s="31">
        <f t="shared" si="4"/>
        <v>8.9603569105691061E-2</v>
      </c>
      <c r="F19" s="20">
        <f>0.185*12+0.52</f>
        <v>2.7399999999999998</v>
      </c>
      <c r="G19" s="49">
        <v>75</v>
      </c>
      <c r="H19" s="19">
        <v>80.447000000000003</v>
      </c>
      <c r="I19" s="50">
        <f t="shared" si="5"/>
        <v>1.4254059751681325</v>
      </c>
      <c r="J19" s="51">
        <v>32.799999999999997</v>
      </c>
      <c r="K19" s="20">
        <v>38.659999999999997</v>
      </c>
      <c r="L19" s="27">
        <f t="shared" si="0"/>
        <v>2460</v>
      </c>
      <c r="M19" s="26">
        <f t="shared" si="1"/>
        <v>3110.0810199999996</v>
      </c>
      <c r="N19" s="18">
        <f t="shared" si="12"/>
        <v>0.26426057723577223</v>
      </c>
      <c r="O19" s="100">
        <f t="shared" si="6"/>
        <v>220.42478</v>
      </c>
      <c r="P19" s="251" t="s">
        <v>266</v>
      </c>
      <c r="Q19" s="280">
        <v>13.49</v>
      </c>
      <c r="R19" s="280">
        <v>12.55</v>
      </c>
      <c r="S19" s="281">
        <f>Q19/R19-1</f>
        <v>7.4900398406374524E-2</v>
      </c>
      <c r="T19" s="24">
        <f t="shared" si="7"/>
        <v>96649.999999999985</v>
      </c>
      <c r="U19" s="22">
        <v>2500</v>
      </c>
      <c r="V19" s="16">
        <f t="shared" si="8"/>
        <v>220.42478</v>
      </c>
      <c r="W19" s="16">
        <f t="shared" si="9"/>
        <v>6849.9999999999991</v>
      </c>
      <c r="X19" s="16">
        <f t="shared" si="10"/>
        <v>7.0874288670460431E-2</v>
      </c>
      <c r="Y19" s="16">
        <f t="shared" si="11"/>
        <v>2.2025149685650312</v>
      </c>
      <c r="Z19" s="32">
        <v>55270000</v>
      </c>
      <c r="AA19" s="23">
        <f t="shared" si="13"/>
        <v>1.4555274108919848E-6</v>
      </c>
      <c r="AC19" s="29"/>
    </row>
    <row r="20" spans="2:30" ht="25.5" customHeight="1" x14ac:dyDescent="0.25">
      <c r="B20" s="99" t="s">
        <v>196</v>
      </c>
      <c r="C20" s="17" t="s">
        <v>197</v>
      </c>
      <c r="D20" s="31">
        <f t="shared" si="3"/>
        <v>3.4234013938134245E-2</v>
      </c>
      <c r="E20" s="31">
        <f t="shared" si="4"/>
        <v>3.8848066623012475E-2</v>
      </c>
      <c r="F20" s="20">
        <f>0.7*4</f>
        <v>2.8</v>
      </c>
      <c r="G20" s="49">
        <v>40</v>
      </c>
      <c r="H20" s="19">
        <v>41.317</v>
      </c>
      <c r="I20" s="50">
        <f t="shared" si="5"/>
        <v>0.35361168847047308</v>
      </c>
      <c r="J20" s="51">
        <f>((74.25*40)+7.95)/40</f>
        <v>74.44874999999999</v>
      </c>
      <c r="K20" s="20">
        <v>81.790000000000006</v>
      </c>
      <c r="L20" s="27">
        <f t="shared" si="0"/>
        <v>2977.95</v>
      </c>
      <c r="M20" s="26">
        <f t="shared" si="1"/>
        <v>3379.3174300000001</v>
      </c>
      <c r="N20" s="18">
        <f t="shared" si="12"/>
        <v>0.13477977467721103</v>
      </c>
      <c r="O20" s="100">
        <f t="shared" si="6"/>
        <v>115.68759999999999</v>
      </c>
      <c r="P20" s="251" t="s">
        <v>265</v>
      </c>
      <c r="Q20" s="280">
        <v>25.14</v>
      </c>
      <c r="R20" s="280">
        <v>12.72</v>
      </c>
      <c r="S20" s="281">
        <f>Q20/R20-1</f>
        <v>0.97641509433962259</v>
      </c>
      <c r="T20" s="24">
        <f t="shared" si="7"/>
        <v>22901.200000000001</v>
      </c>
      <c r="U20" s="22">
        <v>280</v>
      </c>
      <c r="V20" s="16">
        <f t="shared" si="8"/>
        <v>115.68759999999999</v>
      </c>
      <c r="W20" s="16">
        <f t="shared" si="9"/>
        <v>784</v>
      </c>
      <c r="X20" s="16">
        <f t="shared" si="10"/>
        <v>3.4234013938134245E-2</v>
      </c>
      <c r="Y20" s="16">
        <f t="shared" si="11"/>
        <v>0.23199951358224433</v>
      </c>
      <c r="Z20" s="32">
        <v>516970000</v>
      </c>
      <c r="AA20" s="23">
        <f t="shared" si="13"/>
        <v>7.992146546221251E-8</v>
      </c>
      <c r="AC20" s="29"/>
    </row>
    <row r="21" spans="2:30" ht="25.5" customHeight="1" x14ac:dyDescent="0.25">
      <c r="B21" s="279" t="s">
        <v>290</v>
      </c>
      <c r="C21" s="17" t="s">
        <v>259</v>
      </c>
      <c r="D21" s="31">
        <f>F21/K21</f>
        <v>5.9571295433364396E-2</v>
      </c>
      <c r="E21" s="31">
        <f t="shared" si="4"/>
        <v>5.8056312443233421E-2</v>
      </c>
      <c r="F21" s="20">
        <f>3.76*0.85</f>
        <v>3.1959999999999997</v>
      </c>
      <c r="G21" s="49">
        <v>1</v>
      </c>
      <c r="H21" s="19">
        <v>1</v>
      </c>
      <c r="I21" s="50">
        <f t="shared" si="5"/>
        <v>1.4892823858341099E-2</v>
      </c>
      <c r="J21" s="51">
        <v>55.05</v>
      </c>
      <c r="K21" s="20">
        <v>53.65</v>
      </c>
      <c r="L21" s="27">
        <f t="shared" si="0"/>
        <v>55.05</v>
      </c>
      <c r="M21" s="26">
        <f t="shared" si="1"/>
        <v>53.65</v>
      </c>
      <c r="N21" s="18">
        <f t="shared" si="12"/>
        <v>-2.5431425976385036E-2</v>
      </c>
      <c r="O21" s="100">
        <f t="shared" si="6"/>
        <v>3.1959999999999997</v>
      </c>
      <c r="P21" s="251"/>
      <c r="Q21" s="280"/>
      <c r="R21" s="280"/>
      <c r="S21" s="281"/>
      <c r="T21" s="24"/>
      <c r="U21" s="22"/>
      <c r="V21" s="16">
        <f t="shared" si="8"/>
        <v>3.1959999999999997</v>
      </c>
      <c r="X21" s="16">
        <f t="shared" si="10"/>
        <v>5.9571295433364396E-2</v>
      </c>
      <c r="Z21" s="32"/>
      <c r="AA21" s="23"/>
      <c r="AC21" s="29"/>
    </row>
    <row r="22" spans="2:30" ht="25.5" customHeight="1" x14ac:dyDescent="0.25">
      <c r="B22" s="248" t="s">
        <v>258</v>
      </c>
      <c r="C22" s="17" t="s">
        <v>259</v>
      </c>
      <c r="D22" s="31">
        <f t="shared" si="3"/>
        <v>6.7845543125225546E-2</v>
      </c>
      <c r="E22" s="31">
        <f>(H22*F22)/L22</f>
        <v>6.972000741702207E-2</v>
      </c>
      <c r="F22" s="20">
        <f>0.94*4</f>
        <v>3.76</v>
      </c>
      <c r="G22" s="49">
        <v>111</v>
      </c>
      <c r="H22" s="19">
        <v>111</v>
      </c>
      <c r="I22" s="50">
        <f t="shared" si="5"/>
        <v>1.8827138217250088</v>
      </c>
      <c r="J22" s="51">
        <v>53.93</v>
      </c>
      <c r="K22" s="20">
        <v>55.42</v>
      </c>
      <c r="L22" s="27">
        <f t="shared" si="0"/>
        <v>5986.23</v>
      </c>
      <c r="M22" s="26">
        <f t="shared" si="1"/>
        <v>6151.62</v>
      </c>
      <c r="N22" s="18">
        <f t="shared" si="12"/>
        <v>2.7628407194511428E-2</v>
      </c>
      <c r="O22" s="100">
        <f t="shared" si="6"/>
        <v>417.35999999999996</v>
      </c>
      <c r="P22" s="251" t="s">
        <v>265</v>
      </c>
      <c r="Q22" s="280">
        <v>15.06</v>
      </c>
      <c r="R22" s="280">
        <v>58.31</v>
      </c>
      <c r="S22" s="281">
        <f>Q22/R22-1</f>
        <v>-0.74172526153318463</v>
      </c>
      <c r="T22" s="24">
        <f t="shared" si="7"/>
        <v>105796.78</v>
      </c>
      <c r="U22" s="22">
        <v>1909</v>
      </c>
      <c r="V22" s="16">
        <f t="shared" si="8"/>
        <v>417.35999999999996</v>
      </c>
      <c r="W22" s="16">
        <f t="shared" si="9"/>
        <v>7177.8399999999992</v>
      </c>
      <c r="X22" s="16">
        <f t="shared" si="10"/>
        <v>6.7845543125225546E-2</v>
      </c>
      <c r="Y22" s="16">
        <f t="shared" si="11"/>
        <v>1.1668210975320321</v>
      </c>
      <c r="Z22" s="32">
        <v>3740000000</v>
      </c>
      <c r="AA22" s="23">
        <f t="shared" si="13"/>
        <v>2.9679144385026738E-8</v>
      </c>
      <c r="AC22" s="29"/>
    </row>
    <row r="23" spans="2:30" ht="22.5" customHeight="1" x14ac:dyDescent="0.25">
      <c r="B23" s="99" t="s">
        <v>187</v>
      </c>
      <c r="C23" s="17" t="s">
        <v>188</v>
      </c>
      <c r="D23" s="31">
        <f t="shared" si="3"/>
        <v>0.11904761904761905</v>
      </c>
      <c r="E23" s="31">
        <f t="shared" si="4"/>
        <v>8.3335768520418643E-2</v>
      </c>
      <c r="F23" s="20">
        <v>0.4</v>
      </c>
      <c r="G23" s="49">
        <v>450</v>
      </c>
      <c r="H23" s="19">
        <v>507.61900000000003</v>
      </c>
      <c r="I23" s="50">
        <f t="shared" si="5"/>
        <v>15.107708333333335</v>
      </c>
      <c r="J23" s="51">
        <f>((50*9.33)+(100*9.17)+(300*3.51))/450</f>
        <v>5.4144444444444444</v>
      </c>
      <c r="K23" s="20">
        <v>3.36</v>
      </c>
      <c r="L23" s="27">
        <f t="shared" si="0"/>
        <v>2436.5</v>
      </c>
      <c r="M23" s="26">
        <f t="shared" si="1"/>
        <v>1705.5998400000001</v>
      </c>
      <c r="N23" s="18">
        <f t="shared" si="12"/>
        <v>-0.2999795444284834</v>
      </c>
      <c r="O23" s="100">
        <f t="shared" si="6"/>
        <v>203.04760000000002</v>
      </c>
      <c r="P23" s="251" t="s">
        <v>265</v>
      </c>
      <c r="Q23" s="280">
        <v>2.2000000000000002</v>
      </c>
      <c r="R23" s="280">
        <v>2.4</v>
      </c>
      <c r="S23" s="281">
        <f>Q23/R23-1</f>
        <v>-8.3333333333333259E-2</v>
      </c>
      <c r="T23" s="24">
        <f t="shared" si="7"/>
        <v>0</v>
      </c>
      <c r="U23" s="22"/>
      <c r="Y23" s="36">
        <f>W23/M23</f>
        <v>0</v>
      </c>
      <c r="Z23" s="32">
        <v>91822000</v>
      </c>
      <c r="AA23" s="23">
        <f t="shared" si="13"/>
        <v>5.5282938729280566E-6</v>
      </c>
      <c r="AC23" s="29"/>
    </row>
    <row r="24" spans="2:30" ht="22.5" customHeight="1" x14ac:dyDescent="0.25">
      <c r="B24" s="273" t="s">
        <v>278</v>
      </c>
      <c r="C24" s="17" t="s">
        <v>279</v>
      </c>
      <c r="D24" s="31">
        <f t="shared" si="3"/>
        <v>0</v>
      </c>
      <c r="E24" s="31">
        <f t="shared" si="4"/>
        <v>0</v>
      </c>
      <c r="F24" s="20">
        <v>0</v>
      </c>
      <c r="G24" s="49">
        <v>107</v>
      </c>
      <c r="H24" s="19">
        <v>107</v>
      </c>
      <c r="I24" s="50">
        <f t="shared" si="5"/>
        <v>0</v>
      </c>
      <c r="J24" s="51">
        <v>22.05</v>
      </c>
      <c r="K24" s="20">
        <v>24.3</v>
      </c>
      <c r="L24" s="27">
        <f t="shared" si="0"/>
        <v>2359.35</v>
      </c>
      <c r="M24" s="26">
        <f t="shared" si="1"/>
        <v>2600.1</v>
      </c>
      <c r="N24" s="18">
        <f t="shared" si="12"/>
        <v>0.10204081632653073</v>
      </c>
      <c r="O24" s="100">
        <f t="shared" si="6"/>
        <v>0</v>
      </c>
      <c r="P24" s="251" t="s">
        <v>280</v>
      </c>
      <c r="Q24" s="280"/>
      <c r="R24" s="280"/>
      <c r="S24" s="251"/>
      <c r="T24" s="24">
        <f t="shared" si="7"/>
        <v>0</v>
      </c>
      <c r="U24" s="22"/>
      <c r="Y24" s="36">
        <f>W24/M24</f>
        <v>0</v>
      </c>
      <c r="Z24" s="32">
        <v>374104000</v>
      </c>
      <c r="AA24" s="23">
        <f t="shared" si="13"/>
        <v>2.8601672262258625E-7</v>
      </c>
      <c r="AC24" s="29"/>
    </row>
    <row r="25" spans="2:30" ht="22.5" customHeight="1" x14ac:dyDescent="0.25">
      <c r="B25" s="99" t="s">
        <v>124</v>
      </c>
      <c r="C25" s="17" t="s">
        <v>150</v>
      </c>
      <c r="D25" s="31">
        <f t="shared" si="3"/>
        <v>5.1857300478116951E-2</v>
      </c>
      <c r="E25" s="31">
        <f t="shared" si="4"/>
        <v>7.574537522309413E-2</v>
      </c>
      <c r="F25" s="20">
        <f>0.1175*12</f>
        <v>1.41</v>
      </c>
      <c r="G25" s="49">
        <v>100</v>
      </c>
      <c r="H25" s="19">
        <v>113.776</v>
      </c>
      <c r="I25" s="50">
        <f t="shared" si="5"/>
        <v>1.4750290547995584</v>
      </c>
      <c r="J25" s="51">
        <v>21.179400000000001</v>
      </c>
      <c r="K25" s="20">
        <v>27.19</v>
      </c>
      <c r="L25" s="27">
        <f t="shared" si="0"/>
        <v>2117.94</v>
      </c>
      <c r="M25" s="26">
        <f t="shared" si="1"/>
        <v>3093.5694400000002</v>
      </c>
      <c r="N25" s="18">
        <f t="shared" si="12"/>
        <v>0.46065017894746796</v>
      </c>
      <c r="O25" s="100">
        <f t="shared" si="6"/>
        <v>160.42415999999997</v>
      </c>
      <c r="P25" s="251" t="s">
        <v>274</v>
      </c>
      <c r="Q25" s="280"/>
      <c r="R25" s="280"/>
      <c r="S25" s="251"/>
      <c r="T25" s="24">
        <f t="shared" si="7"/>
        <v>337156</v>
      </c>
      <c r="U25" s="22">
        <v>12400</v>
      </c>
      <c r="V25" s="16">
        <f t="shared" ref="V25:V31" si="14">H25*F25</f>
        <v>160.42415999999997</v>
      </c>
      <c r="W25" s="16">
        <f t="shared" ref="W25:W31" si="15">U25*F25</f>
        <v>17484</v>
      </c>
      <c r="X25" s="16">
        <f t="shared" si="10"/>
        <v>5.1857300478116944E-2</v>
      </c>
      <c r="Y25" s="16">
        <f t="shared" si="11"/>
        <v>5.6517237899789956</v>
      </c>
      <c r="Z25" s="32">
        <v>82190000</v>
      </c>
      <c r="AA25" s="23">
        <f t="shared" si="13"/>
        <v>1.3843046599342986E-6</v>
      </c>
      <c r="AC25" s="29"/>
    </row>
    <row r="26" spans="2:30" ht="22.5" customHeight="1" x14ac:dyDescent="0.25">
      <c r="B26" s="99" t="s">
        <v>185</v>
      </c>
      <c r="C26" s="17" t="s">
        <v>186</v>
      </c>
      <c r="D26" s="31">
        <f t="shared" si="3"/>
        <v>8.5371276122721218E-2</v>
      </c>
      <c r="E26" s="31">
        <f t="shared" si="4"/>
        <v>0.1082367395156527</v>
      </c>
      <c r="F26" s="20">
        <v>1.92</v>
      </c>
      <c r="G26" s="49">
        <v>50</v>
      </c>
      <c r="H26" s="19">
        <v>57.264000000000003</v>
      </c>
      <c r="I26" s="50">
        <f t="shared" si="5"/>
        <v>1.2221751889728769</v>
      </c>
      <c r="J26" s="51">
        <f>1015.8/50</f>
        <v>20.315999999999999</v>
      </c>
      <c r="K26" s="20">
        <v>22.49</v>
      </c>
      <c r="L26" s="27">
        <f t="shared" si="0"/>
        <v>1015.8</v>
      </c>
      <c r="M26" s="26">
        <f t="shared" si="1"/>
        <v>1287.86736</v>
      </c>
      <c r="N26" s="18">
        <f>M26/L26-1</f>
        <v>0.26783555818074434</v>
      </c>
      <c r="O26" s="100">
        <f t="shared" si="6"/>
        <v>109.94688000000001</v>
      </c>
      <c r="P26" s="251" t="s">
        <v>274</v>
      </c>
      <c r="Q26" s="280"/>
      <c r="R26" s="280"/>
      <c r="S26" s="251"/>
      <c r="T26" s="24">
        <f t="shared" si="7"/>
        <v>23502.05</v>
      </c>
      <c r="U26" s="22">
        <v>1045</v>
      </c>
      <c r="V26" s="16">
        <f t="shared" si="14"/>
        <v>109.94688000000001</v>
      </c>
      <c r="W26" s="16">
        <f t="shared" si="15"/>
        <v>2006.3999999999999</v>
      </c>
      <c r="X26" s="16">
        <f t="shared" si="10"/>
        <v>8.5371276122721218E-2</v>
      </c>
      <c r="Y26" s="16">
        <f t="shared" si="11"/>
        <v>1.557924412340103</v>
      </c>
      <c r="Z26" s="32">
        <v>260140000</v>
      </c>
      <c r="AA26" s="23">
        <f t="shared" si="13"/>
        <v>2.2012762358729917E-7</v>
      </c>
      <c r="AC26" s="29"/>
    </row>
    <row r="27" spans="2:30" ht="22.5" customHeight="1" x14ac:dyDescent="0.25">
      <c r="B27" s="99" t="s">
        <v>4</v>
      </c>
      <c r="C27" s="17" t="s">
        <v>151</v>
      </c>
      <c r="D27" s="31">
        <f t="shared" si="3"/>
        <v>4.3287115319580655E-2</v>
      </c>
      <c r="E27" s="31">
        <f t="shared" si="4"/>
        <v>4.4535412605588048E-2</v>
      </c>
      <c r="F27" s="20">
        <f>0.32*4</f>
        <v>1.28</v>
      </c>
      <c r="G27" s="49">
        <v>16</v>
      </c>
      <c r="H27" s="19">
        <v>17.135000000000002</v>
      </c>
      <c r="I27" s="50">
        <f t="shared" si="5"/>
        <v>0.18543118025025368</v>
      </c>
      <c r="J27" s="51">
        <f>((34.65*8)+(26.91*8))/16</f>
        <v>30.78</v>
      </c>
      <c r="K27" s="20">
        <v>29.57</v>
      </c>
      <c r="L27" s="27">
        <f t="shared" si="0"/>
        <v>492.48</v>
      </c>
      <c r="M27" s="26">
        <f t="shared" si="1"/>
        <v>506.68195000000003</v>
      </c>
      <c r="N27" s="18">
        <f t="shared" si="12"/>
        <v>2.8837617771280133E-2</v>
      </c>
      <c r="O27" s="100">
        <f t="shared" si="6"/>
        <v>21.932800000000004</v>
      </c>
      <c r="P27" s="251" t="s">
        <v>265</v>
      </c>
      <c r="Q27" s="280"/>
      <c r="R27" s="280"/>
      <c r="S27" s="251"/>
      <c r="T27" s="24">
        <f t="shared" si="7"/>
        <v>3607.54</v>
      </c>
      <c r="U27" s="22">
        <v>122</v>
      </c>
      <c r="V27" s="16">
        <f t="shared" si="14"/>
        <v>21.932800000000004</v>
      </c>
      <c r="W27" s="16">
        <f t="shared" si="15"/>
        <v>156.16</v>
      </c>
      <c r="X27" s="16">
        <f t="shared" si="10"/>
        <v>4.3287115319580662E-2</v>
      </c>
      <c r="Y27" s="16">
        <f t="shared" si="11"/>
        <v>0.30820122958791013</v>
      </c>
      <c r="Z27" s="32">
        <v>1470000000</v>
      </c>
      <c r="AA27" s="23">
        <f t="shared" si="13"/>
        <v>1.1656462585034015E-8</v>
      </c>
    </row>
    <row r="28" spans="2:30" ht="22.5" customHeight="1" x14ac:dyDescent="0.25">
      <c r="B28" s="99" t="s">
        <v>119</v>
      </c>
      <c r="C28" s="17" t="s">
        <v>152</v>
      </c>
      <c r="D28" s="31">
        <f t="shared" si="3"/>
        <v>1.1386742578283857E-2</v>
      </c>
      <c r="E28" s="31">
        <f t="shared" si="4"/>
        <v>1.1808957671415396E-2</v>
      </c>
      <c r="F28" s="20">
        <f>0.28*4</f>
        <v>1.1200000000000001</v>
      </c>
      <c r="G28" s="49">
        <v>12</v>
      </c>
      <c r="H28" s="19">
        <v>12.345000000000001</v>
      </c>
      <c r="I28" s="50">
        <f t="shared" si="5"/>
        <v>3.514233428222855E-2</v>
      </c>
      <c r="J28" s="51">
        <v>97.57</v>
      </c>
      <c r="K28" s="20">
        <v>98.36</v>
      </c>
      <c r="L28" s="27">
        <f t="shared" si="0"/>
        <v>1170.8399999999999</v>
      </c>
      <c r="M28" s="26">
        <f t="shared" si="1"/>
        <v>1214.2542000000001</v>
      </c>
      <c r="N28" s="18">
        <f t="shared" si="12"/>
        <v>3.7079532643230717E-2</v>
      </c>
      <c r="O28" s="100">
        <f t="shared" si="6"/>
        <v>13.826400000000001</v>
      </c>
      <c r="P28" s="251" t="s">
        <v>269</v>
      </c>
      <c r="Q28" s="280">
        <v>16.190000000000001</v>
      </c>
      <c r="R28" s="280">
        <v>20.16</v>
      </c>
      <c r="S28" s="281">
        <f>Q28/R28-1</f>
        <v>-0.19692460317460314</v>
      </c>
      <c r="T28" s="24">
        <f t="shared" si="7"/>
        <v>1770.48</v>
      </c>
      <c r="U28" s="22">
        <v>18</v>
      </c>
      <c r="V28" s="16">
        <f t="shared" si="14"/>
        <v>13.826400000000001</v>
      </c>
      <c r="W28" s="16">
        <f t="shared" si="15"/>
        <v>20.160000000000004</v>
      </c>
      <c r="X28" s="16">
        <f t="shared" si="10"/>
        <v>1.1386742578283855E-2</v>
      </c>
      <c r="Y28" s="16">
        <f t="shared" si="11"/>
        <v>1.6602783832248637E-2</v>
      </c>
      <c r="Z28" s="32">
        <v>191035000</v>
      </c>
      <c r="AA28" s="23">
        <f t="shared" si="13"/>
        <v>6.4621666186824407E-8</v>
      </c>
    </row>
    <row r="29" spans="2:30" ht="22.5" customHeight="1" x14ac:dyDescent="0.25">
      <c r="B29" s="99" t="s">
        <v>67</v>
      </c>
      <c r="C29" s="17" t="s">
        <v>153</v>
      </c>
      <c r="D29" s="31">
        <f t="shared" si="3"/>
        <v>2.2248781833226074E-2</v>
      </c>
      <c r="E29" s="31">
        <f t="shared" si="4"/>
        <v>2.6137402695588872E-2</v>
      </c>
      <c r="F29" s="20">
        <f>0.605*4</f>
        <v>2.42</v>
      </c>
      <c r="G29" s="49">
        <v>16</v>
      </c>
      <c r="H29" s="19">
        <v>17.143000000000001</v>
      </c>
      <c r="I29" s="50">
        <f t="shared" si="5"/>
        <v>9.5352716741748653E-2</v>
      </c>
      <c r="J29" s="51">
        <f>((10*117.45)+(5*101.59)+(12*83))/27</f>
        <v>99.201851851851842</v>
      </c>
      <c r="K29" s="20">
        <v>108.77</v>
      </c>
      <c r="L29" s="27">
        <f t="shared" si="0"/>
        <v>1587.2296296296295</v>
      </c>
      <c r="M29" s="26">
        <f t="shared" si="1"/>
        <v>1864.64411</v>
      </c>
      <c r="N29" s="18">
        <f t="shared" si="12"/>
        <v>0.17477904595008309</v>
      </c>
      <c r="O29" s="100">
        <f t="shared" si="6"/>
        <v>41.486060000000002</v>
      </c>
      <c r="P29" s="251" t="s">
        <v>273</v>
      </c>
      <c r="Q29" s="280">
        <v>19.260000000000002</v>
      </c>
      <c r="R29" s="280">
        <v>17.52</v>
      </c>
      <c r="S29" s="281">
        <f>Q29/R29-1</f>
        <v>9.9315068493150749E-2</v>
      </c>
      <c r="T29" s="24">
        <f t="shared" si="7"/>
        <v>12617.32</v>
      </c>
      <c r="U29" s="22">
        <v>116</v>
      </c>
      <c r="V29" s="16">
        <f t="shared" si="14"/>
        <v>41.486060000000002</v>
      </c>
      <c r="W29" s="16">
        <f t="shared" si="15"/>
        <v>280.71999999999997</v>
      </c>
      <c r="X29" s="16">
        <f t="shared" si="10"/>
        <v>2.2248781833226074E-2</v>
      </c>
      <c r="Y29" s="16">
        <f t="shared" si="11"/>
        <v>0.15054883583119782</v>
      </c>
      <c r="Z29" s="32">
        <v>897430000</v>
      </c>
      <c r="AA29" s="23">
        <f t="shared" si="13"/>
        <v>1.9102325529567767E-8</v>
      </c>
      <c r="AD29" s="29"/>
    </row>
    <row r="30" spans="2:30" ht="22.5" customHeight="1" thickBot="1" x14ac:dyDescent="0.3">
      <c r="B30" s="101" t="s">
        <v>5</v>
      </c>
      <c r="C30" s="68" t="s">
        <v>154</v>
      </c>
      <c r="D30" s="69">
        <f t="shared" si="3"/>
        <v>2.797717651389656E-2</v>
      </c>
      <c r="E30" s="31">
        <f t="shared" si="4"/>
        <v>3.2507518839170517E-2</v>
      </c>
      <c r="F30" s="70">
        <f>0.38*4</f>
        <v>1.52</v>
      </c>
      <c r="G30" s="71">
        <v>110</v>
      </c>
      <c r="H30" s="72">
        <v>114.373</v>
      </c>
      <c r="I30" s="73">
        <f t="shared" si="5"/>
        <v>0.79995840235597282</v>
      </c>
      <c r="J30" s="74">
        <f>((51.1*20)+(35*49.08)+(55*47.42))/110</f>
        <v>48.617272727272727</v>
      </c>
      <c r="K30" s="70">
        <v>54.33</v>
      </c>
      <c r="L30" s="75">
        <f t="shared" si="0"/>
        <v>5347.9</v>
      </c>
      <c r="M30" s="76">
        <f t="shared" si="1"/>
        <v>6213.8850899999998</v>
      </c>
      <c r="N30" s="77">
        <f t="shared" si="12"/>
        <v>0.16192993324482519</v>
      </c>
      <c r="O30" s="102">
        <f t="shared" si="6"/>
        <v>173.84696</v>
      </c>
      <c r="P30" s="251" t="s">
        <v>266</v>
      </c>
      <c r="Q30" s="280">
        <v>13.47</v>
      </c>
      <c r="R30" s="280">
        <v>13.92</v>
      </c>
      <c r="S30" s="281">
        <f>Q30/R30-1</f>
        <v>-3.2327586206896464E-2</v>
      </c>
      <c r="T30" s="24">
        <f t="shared" si="7"/>
        <v>59763</v>
      </c>
      <c r="U30" s="22">
        <v>1100</v>
      </c>
      <c r="V30" s="16">
        <f t="shared" si="14"/>
        <v>173.84696</v>
      </c>
      <c r="W30" s="16">
        <f t="shared" si="15"/>
        <v>1672</v>
      </c>
      <c r="X30" s="16">
        <f t="shared" si="10"/>
        <v>2.797717651389656E-2</v>
      </c>
      <c r="Y30" s="16">
        <f t="shared" si="11"/>
        <v>0.26907481805396566</v>
      </c>
      <c r="Z30" s="32">
        <v>5000000000</v>
      </c>
      <c r="AA30" s="23">
        <f t="shared" si="13"/>
        <v>2.28746E-8</v>
      </c>
      <c r="AD30" s="29"/>
    </row>
    <row r="31" spans="2:30" ht="22.5" hidden="1" customHeight="1" x14ac:dyDescent="0.25">
      <c r="B31" s="97" t="s">
        <v>6</v>
      </c>
      <c r="C31" s="59"/>
      <c r="D31" s="60">
        <f t="shared" si="3"/>
        <v>3.1772230245512692E-2</v>
      </c>
      <c r="E31" s="31" t="e">
        <f t="shared" si="4"/>
        <v>#DIV/0!</v>
      </c>
      <c r="F31" s="61">
        <f>0.385*4</f>
        <v>1.54</v>
      </c>
      <c r="G31" s="62">
        <v>0</v>
      </c>
      <c r="H31" s="63">
        <v>0</v>
      </c>
      <c r="I31" s="63"/>
      <c r="J31" s="64">
        <v>44.25</v>
      </c>
      <c r="K31" s="65">
        <v>48.47</v>
      </c>
      <c r="L31" s="66">
        <f t="shared" si="0"/>
        <v>0</v>
      </c>
      <c r="M31" s="61">
        <f t="shared" si="1"/>
        <v>0</v>
      </c>
      <c r="N31" s="67" t="e">
        <f t="shared" si="12"/>
        <v>#DIV/0!</v>
      </c>
      <c r="O31" s="103">
        <f t="shared" si="6"/>
        <v>0</v>
      </c>
      <c r="P31" s="251"/>
      <c r="Q31" s="251"/>
      <c r="R31" s="251"/>
      <c r="S31" s="251"/>
      <c r="T31" s="24">
        <f t="shared" si="7"/>
        <v>2568.91</v>
      </c>
      <c r="U31" s="22">
        <v>53</v>
      </c>
      <c r="V31" s="16">
        <f t="shared" si="14"/>
        <v>0</v>
      </c>
      <c r="W31" s="16">
        <f t="shared" si="15"/>
        <v>81.62</v>
      </c>
      <c r="X31" s="16" t="e">
        <f t="shared" si="10"/>
        <v>#DIV/0!</v>
      </c>
      <c r="Y31" s="16" t="e">
        <f t="shared" si="11"/>
        <v>#DIV/0!</v>
      </c>
      <c r="Z31" s="16">
        <v>466400000</v>
      </c>
      <c r="AA31" s="23">
        <f t="shared" si="13"/>
        <v>0</v>
      </c>
    </row>
    <row r="32" spans="2:30" ht="22.5" customHeight="1" thickBot="1" x14ac:dyDescent="0.3">
      <c r="B32" s="101" t="s">
        <v>65</v>
      </c>
      <c r="C32" s="68"/>
      <c r="D32" s="69">
        <f>O32/M32</f>
        <v>4.2035413759166002E-2</v>
      </c>
      <c r="E32" s="31">
        <f>O32/L32</f>
        <v>4.3253568002064056E-2</v>
      </c>
      <c r="F32" s="76"/>
      <c r="G32" s="68"/>
      <c r="H32" s="68"/>
      <c r="I32" s="68"/>
      <c r="J32" s="68"/>
      <c r="K32" s="68"/>
      <c r="L32" s="75">
        <f>SUM(L4:L31)</f>
        <v>44665.373129629632</v>
      </c>
      <c r="M32" s="76">
        <f>SUM(M4:M31)</f>
        <v>45959.741590000005</v>
      </c>
      <c r="N32" s="77">
        <f>M32/L32-1</f>
        <v>2.8979237598974139E-2</v>
      </c>
      <c r="O32" s="102">
        <f>SUM(O6:O30)</f>
        <v>1931.9367540000001</v>
      </c>
      <c r="P32" s="251"/>
      <c r="Q32" s="251"/>
      <c r="R32" s="251"/>
      <c r="S32" s="251"/>
      <c r="T32" s="24">
        <f>SUM(T6:T31)</f>
        <v>879958.10580000002</v>
      </c>
      <c r="V32" s="16">
        <f>SUM(V6:V31)</f>
        <v>1728.889154</v>
      </c>
      <c r="W32" s="16">
        <f>SUM(W6:W31)</f>
        <v>46802.191590960014</v>
      </c>
      <c r="X32" s="16">
        <f>V32/M32</f>
        <v>3.7617468988906902E-2</v>
      </c>
      <c r="Y32" s="16">
        <f>W32/M32</f>
        <v>1.0183301727080056</v>
      </c>
      <c r="AA32" s="28" t="e">
        <f>SUM(AA27:AA31,AA4:AA17)</f>
        <v>#DIV/0!</v>
      </c>
    </row>
    <row r="33" spans="2:27" ht="22.5" customHeight="1" x14ac:dyDescent="0.25">
      <c r="B33" s="82"/>
      <c r="C33" s="82"/>
      <c r="D33" s="83"/>
      <c r="E33" s="83"/>
      <c r="F33" s="82"/>
      <c r="G33" s="82"/>
      <c r="H33" s="82"/>
      <c r="I33" s="84"/>
      <c r="J33" s="82"/>
      <c r="K33" s="82"/>
      <c r="L33" s="83"/>
      <c r="M33" s="85"/>
      <c r="N33" s="83"/>
      <c r="O33" s="85"/>
      <c r="P33" s="85"/>
      <c r="Q33" s="85"/>
      <c r="R33" s="85"/>
      <c r="S33" s="85"/>
      <c r="T33" s="24"/>
      <c r="AA33" s="28"/>
    </row>
    <row r="34" spans="2:27" ht="22.5" customHeight="1" thickBot="1" x14ac:dyDescent="0.3">
      <c r="B34" s="105" t="s">
        <v>155</v>
      </c>
      <c r="C34" s="87"/>
      <c r="D34" s="87"/>
      <c r="E34" s="87"/>
      <c r="F34" s="87"/>
      <c r="G34" s="87"/>
      <c r="H34" s="87"/>
      <c r="I34" s="88"/>
      <c r="J34" s="87"/>
      <c r="K34" s="87"/>
      <c r="L34" s="87"/>
      <c r="M34" s="87"/>
      <c r="N34" s="87"/>
      <c r="O34" s="86"/>
      <c r="P34" s="86"/>
      <c r="Q34" s="86"/>
      <c r="R34" s="86"/>
      <c r="S34" s="86"/>
    </row>
    <row r="35" spans="2:27" ht="22.5" customHeight="1" thickBot="1" x14ac:dyDescent="0.3">
      <c r="B35" s="94" t="s">
        <v>145</v>
      </c>
      <c r="C35" s="95" t="s">
        <v>128</v>
      </c>
      <c r="D35" s="95" t="str">
        <f t="shared" ref="D35:AA35" si="16">D3</f>
        <v>Dividend Yield</v>
      </c>
      <c r="E35" s="95" t="str">
        <f t="shared" si="16"/>
        <v>Yield on Cost</v>
      </c>
      <c r="F35" s="95" t="str">
        <f t="shared" si="16"/>
        <v>Payout ($)/Share</v>
      </c>
      <c r="G35" s="95" t="str">
        <f t="shared" si="16"/>
        <v>Shares (original)</v>
      </c>
      <c r="H35" s="95" t="str">
        <f t="shared" si="16"/>
        <v>Shares (Now)</v>
      </c>
      <c r="I35" s="95" t="str">
        <f t="shared" si="16"/>
        <v>Shares/Qtr</v>
      </c>
      <c r="J35" s="95" t="str">
        <f t="shared" si="16"/>
        <v>Cost Basis/Share</v>
      </c>
      <c r="K35" s="95" t="str">
        <f t="shared" si="16"/>
        <v>Price/Share (now)</v>
      </c>
      <c r="L35" s="95" t="str">
        <f t="shared" si="16"/>
        <v>Cost Basis</v>
      </c>
      <c r="M35" s="95" t="str">
        <f t="shared" si="16"/>
        <v>Value</v>
      </c>
      <c r="N35" s="95" t="str">
        <f t="shared" si="16"/>
        <v>Return Now</v>
      </c>
      <c r="O35" s="96" t="str">
        <f t="shared" si="16"/>
        <v>Forward Annual Payout</v>
      </c>
      <c r="P35" s="117"/>
      <c r="Q35" s="117"/>
      <c r="R35" s="117"/>
      <c r="S35" s="117"/>
      <c r="T35" s="78" t="str">
        <f t="shared" si="16"/>
        <v>Investment (35 years)</v>
      </c>
      <c r="U35" s="17" t="str">
        <f t="shared" si="16"/>
        <v>Shares (35 years)</v>
      </c>
      <c r="V35" s="17" t="str">
        <f t="shared" si="16"/>
        <v>Annual Yield (now)</v>
      </c>
      <c r="W35" s="17" t="str">
        <f t="shared" si="16"/>
        <v>Annual Yield (35 years)</v>
      </c>
      <c r="X35" s="17" t="str">
        <f t="shared" si="16"/>
        <v>Dividend/Investment Now ($/$)</v>
      </c>
      <c r="Y35" s="17" t="str">
        <f t="shared" si="16"/>
        <v>Dividend/Investment Future ($/$)</v>
      </c>
      <c r="Z35" s="17" t="str">
        <f t="shared" si="16"/>
        <v>Outstanding Shares</v>
      </c>
      <c r="AA35" s="17" t="str">
        <f t="shared" si="16"/>
        <v>Share of Company</v>
      </c>
    </row>
    <row r="36" spans="2:27" ht="22.5" hidden="1" customHeight="1" x14ac:dyDescent="0.25">
      <c r="B36" s="97" t="s">
        <v>88</v>
      </c>
      <c r="C36" s="59"/>
      <c r="D36" s="59">
        <v>0</v>
      </c>
      <c r="E36" s="59"/>
      <c r="F36" s="59">
        <v>0</v>
      </c>
      <c r="G36" s="59">
        <v>0</v>
      </c>
      <c r="H36" s="59">
        <v>0</v>
      </c>
      <c r="I36" s="59"/>
      <c r="J36" s="59">
        <v>78.510000000000005</v>
      </c>
      <c r="K36" s="59">
        <v>78.69</v>
      </c>
      <c r="L36" s="59">
        <f t="shared" ref="L36:M38" si="17">J36*G36</f>
        <v>0</v>
      </c>
      <c r="M36" s="59">
        <f t="shared" si="17"/>
        <v>0</v>
      </c>
      <c r="N36" s="67" t="e">
        <f t="shared" ref="N36:N66" si="18">M36/L36-1</f>
        <v>#DIV/0!</v>
      </c>
      <c r="O36" s="103"/>
      <c r="P36" s="251"/>
      <c r="Q36" s="251"/>
      <c r="R36" s="251"/>
      <c r="S36" s="251"/>
      <c r="T36" s="24">
        <v>0</v>
      </c>
      <c r="Z36" s="16">
        <v>2020000000</v>
      </c>
      <c r="AA36" s="23">
        <f>(H36/Z36)</f>
        <v>0</v>
      </c>
    </row>
    <row r="37" spans="2:27" ht="22.5" hidden="1" customHeight="1" x14ac:dyDescent="0.25">
      <c r="B37" s="99" t="s">
        <v>109</v>
      </c>
      <c r="C37" s="17" t="s">
        <v>156</v>
      </c>
      <c r="D37" s="31">
        <f>F37/K37</f>
        <v>7.8076202373516543E-3</v>
      </c>
      <c r="E37" s="31" t="e">
        <f>(H37*F37)/L37</f>
        <v>#DIV/0!</v>
      </c>
      <c r="F37" s="20">
        <f>0.125*4</f>
        <v>0.5</v>
      </c>
      <c r="G37" s="48">
        <v>0</v>
      </c>
      <c r="H37" s="19">
        <v>0</v>
      </c>
      <c r="I37" s="55">
        <f>(H37*F37/4)/K37</f>
        <v>0</v>
      </c>
      <c r="J37" s="51">
        <v>56.57</v>
      </c>
      <c r="K37" s="20">
        <v>64.040000000000006</v>
      </c>
      <c r="L37" s="27">
        <f t="shared" si="17"/>
        <v>0</v>
      </c>
      <c r="M37" s="26">
        <f t="shared" si="17"/>
        <v>0</v>
      </c>
      <c r="N37" s="18" t="e">
        <f t="shared" si="18"/>
        <v>#DIV/0!</v>
      </c>
      <c r="O37" s="100">
        <f>H37*F37</f>
        <v>0</v>
      </c>
      <c r="P37" s="251"/>
      <c r="Q37" s="251"/>
      <c r="R37" s="251"/>
      <c r="S37" s="251"/>
      <c r="T37" s="24">
        <f t="shared" ref="T37:T66" si="19">K37*U37</f>
        <v>0</v>
      </c>
      <c r="U37" s="22">
        <v>0</v>
      </c>
      <c r="V37" s="24">
        <f>H37*F37</f>
        <v>0</v>
      </c>
      <c r="W37" s="24">
        <f>U37*F37</f>
        <v>0</v>
      </c>
      <c r="X37" s="30" t="e">
        <f>V37/M37</f>
        <v>#DIV/0!</v>
      </c>
      <c r="Y37" s="30" t="e">
        <f>W37/M37</f>
        <v>#DIV/0!</v>
      </c>
      <c r="Z37" s="16">
        <v>1372436000</v>
      </c>
      <c r="AA37" s="23">
        <f>(H37/Z37)</f>
        <v>0</v>
      </c>
    </row>
    <row r="38" spans="2:27" ht="22.5" hidden="1" customHeight="1" x14ac:dyDescent="0.25">
      <c r="B38" s="133" t="s">
        <v>104</v>
      </c>
      <c r="C38" s="118" t="s">
        <v>115</v>
      </c>
      <c r="D38" s="119">
        <f>F38/K38</f>
        <v>0</v>
      </c>
      <c r="E38" s="119" t="e">
        <f>(H38*F38)/L38</f>
        <v>#DIV/0!</v>
      </c>
      <c r="F38" s="125">
        <v>0</v>
      </c>
      <c r="G38" s="216">
        <v>0</v>
      </c>
      <c r="H38" s="122">
        <v>0</v>
      </c>
      <c r="I38" s="123">
        <f>(H38*F38/4)/K38</f>
        <v>0</v>
      </c>
      <c r="J38" s="124">
        <v>80.19</v>
      </c>
      <c r="K38" s="125">
        <v>76.92</v>
      </c>
      <c r="L38" s="126">
        <f t="shared" si="17"/>
        <v>0</v>
      </c>
      <c r="M38" s="120">
        <f t="shared" si="17"/>
        <v>0</v>
      </c>
      <c r="N38" s="127" t="e">
        <f t="shared" si="18"/>
        <v>#DIV/0!</v>
      </c>
      <c r="O38" s="134">
        <f>H38*F38</f>
        <v>0</v>
      </c>
      <c r="P38" s="251"/>
      <c r="Q38" s="251"/>
      <c r="R38" s="251"/>
      <c r="S38" s="251"/>
      <c r="T38" s="24">
        <f t="shared" si="19"/>
        <v>1769.16</v>
      </c>
      <c r="U38" s="22">
        <v>23</v>
      </c>
      <c r="V38" s="24">
        <f>H38*F38</f>
        <v>0</v>
      </c>
      <c r="W38" s="24">
        <f>U38*F38</f>
        <v>0</v>
      </c>
      <c r="X38" s="30" t="e">
        <f>V38/M38</f>
        <v>#DIV/0!</v>
      </c>
      <c r="Y38" s="30" t="e">
        <f>W38/M38</f>
        <v>#DIV/0!</v>
      </c>
      <c r="Z38" s="16">
        <v>1023000000</v>
      </c>
      <c r="AA38" s="23">
        <f>(H38/Z38)</f>
        <v>0</v>
      </c>
    </row>
    <row r="39" spans="2:27" ht="22.5" customHeight="1" x14ac:dyDescent="0.25">
      <c r="B39" s="212" t="s">
        <v>182</v>
      </c>
      <c r="C39" s="217"/>
      <c r="D39" s="219"/>
      <c r="E39" s="219"/>
      <c r="F39" s="223"/>
      <c r="G39" s="220">
        <v>35.01</v>
      </c>
      <c r="H39" s="221">
        <v>35.01</v>
      </c>
      <c r="I39" s="231"/>
      <c r="J39" s="232">
        <v>1</v>
      </c>
      <c r="K39" s="223">
        <v>1</v>
      </c>
      <c r="L39" s="233">
        <v>1</v>
      </c>
      <c r="M39" s="224">
        <f>H39</f>
        <v>35.01</v>
      </c>
      <c r="N39" s="218"/>
      <c r="O39" s="225"/>
      <c r="P39" s="251"/>
      <c r="Q39" s="251"/>
      <c r="R39" s="251"/>
      <c r="S39" s="251"/>
      <c r="T39" s="24"/>
      <c r="U39" s="22"/>
      <c r="V39" s="24"/>
      <c r="W39" s="24"/>
      <c r="X39" s="30"/>
      <c r="Y39" s="30"/>
      <c r="AA39" s="23"/>
    </row>
    <row r="40" spans="2:27" ht="22.5" customHeight="1" x14ac:dyDescent="0.25">
      <c r="B40" s="213" t="s">
        <v>100</v>
      </c>
      <c r="C40" s="17" t="s">
        <v>157</v>
      </c>
      <c r="D40" s="31">
        <f t="shared" ref="D40:D45" si="20">F40/K40</f>
        <v>5.2032520325203252E-2</v>
      </c>
      <c r="E40" s="31">
        <f t="shared" ref="E40:E45" si="21">(H40*F40)/L40</f>
        <v>7.7362649788932411E-2</v>
      </c>
      <c r="F40" s="20">
        <f>0.8*2</f>
        <v>1.6</v>
      </c>
      <c r="G40" s="48">
        <f>101+6</f>
        <v>107</v>
      </c>
      <c r="H40" s="19">
        <v>116.852</v>
      </c>
      <c r="I40" s="55">
        <f>(H40*F40/2)/K40</f>
        <v>3.0400520325203257</v>
      </c>
      <c r="J40" s="51">
        <f>((29.11*4.313)+(6*22.86)+(21.54*100))/110.313</f>
        <v>21.90776635573323</v>
      </c>
      <c r="K40" s="20">
        <v>30.75</v>
      </c>
      <c r="L40" s="27">
        <f>J40*110.313</f>
        <v>2416.7114299999998</v>
      </c>
      <c r="M40" s="26">
        <f t="shared" ref="M40:M66" si="22">K40*H40</f>
        <v>3593.1990000000001</v>
      </c>
      <c r="N40" s="18">
        <f t="shared" si="18"/>
        <v>0.48681342563104457</v>
      </c>
      <c r="O40" s="100">
        <f t="shared" ref="O40:O46" si="23">H40*F40</f>
        <v>186.96320000000003</v>
      </c>
      <c r="P40" s="251" t="s">
        <v>270</v>
      </c>
      <c r="Q40" s="251"/>
      <c r="R40" s="251"/>
      <c r="S40" s="251"/>
      <c r="T40" s="24">
        <f t="shared" si="19"/>
        <v>100552.5</v>
      </c>
      <c r="U40" s="22">
        <v>3270</v>
      </c>
      <c r="V40" s="24">
        <f t="shared" ref="V40:V45" si="24">H40*F40</f>
        <v>186.96320000000003</v>
      </c>
      <c r="W40" s="24">
        <f t="shared" ref="W40:W45" si="25">U40*F40</f>
        <v>5232</v>
      </c>
      <c r="X40" s="30">
        <f t="shared" ref="X40:X45" si="26">V40/M40</f>
        <v>5.2032520325203259E-2</v>
      </c>
      <c r="Y40" s="30">
        <f t="shared" ref="Y40:Y45" si="27">W40/M40</f>
        <v>1.4560841189146496</v>
      </c>
      <c r="Z40" s="32">
        <v>2661000000</v>
      </c>
      <c r="AA40" s="23">
        <f t="shared" ref="AA40:AA56" si="28">(H40/Z40)</f>
        <v>4.3912814731304025E-8</v>
      </c>
    </row>
    <row r="41" spans="2:27" ht="22.5" hidden="1" customHeight="1" x14ac:dyDescent="0.25">
      <c r="B41" s="213" t="s">
        <v>102</v>
      </c>
      <c r="C41" s="17"/>
      <c r="D41" s="31">
        <f t="shared" si="20"/>
        <v>2.3650023053348162E-2</v>
      </c>
      <c r="E41" s="31" t="e">
        <f t="shared" si="21"/>
        <v>#DIV/0!</v>
      </c>
      <c r="F41" s="20">
        <f>2.18*4</f>
        <v>8.7200000000000006</v>
      </c>
      <c r="G41" s="48">
        <v>0</v>
      </c>
      <c r="H41" s="19">
        <v>0</v>
      </c>
      <c r="I41" s="55">
        <f>(H41*F41/4)/K41</f>
        <v>0</v>
      </c>
      <c r="J41" s="48">
        <v>359.05</v>
      </c>
      <c r="K41" s="20">
        <v>368.71</v>
      </c>
      <c r="L41" s="27">
        <f t="shared" ref="L41:L66" si="29">J41*G41</f>
        <v>0</v>
      </c>
      <c r="M41" s="26">
        <f t="shared" si="22"/>
        <v>0</v>
      </c>
      <c r="N41" s="18" t="e">
        <f t="shared" si="18"/>
        <v>#DIV/0!</v>
      </c>
      <c r="O41" s="100">
        <f t="shared" si="23"/>
        <v>0</v>
      </c>
      <c r="P41" s="251"/>
      <c r="Q41" s="251"/>
      <c r="R41" s="251"/>
      <c r="S41" s="251"/>
      <c r="T41" s="24">
        <f t="shared" si="19"/>
        <v>2609.7293799999998</v>
      </c>
      <c r="U41" s="22">
        <v>7.0780000000000003</v>
      </c>
      <c r="V41" s="24">
        <f t="shared" si="24"/>
        <v>0</v>
      </c>
      <c r="W41" s="24">
        <f t="shared" si="25"/>
        <v>61.720160000000007</v>
      </c>
      <c r="X41" s="30" t="e">
        <f t="shared" si="26"/>
        <v>#DIV/0!</v>
      </c>
      <c r="Y41" s="30" t="e">
        <f t="shared" si="27"/>
        <v>#DIV/0!</v>
      </c>
      <c r="Z41" s="32">
        <v>166922000</v>
      </c>
      <c r="AA41" s="23">
        <f t="shared" si="28"/>
        <v>0</v>
      </c>
    </row>
    <row r="42" spans="2:27" ht="22.5" hidden="1" customHeight="1" x14ac:dyDescent="0.25">
      <c r="B42" s="213" t="s">
        <v>110</v>
      </c>
      <c r="C42" s="17" t="s">
        <v>158</v>
      </c>
      <c r="D42" s="31">
        <f t="shared" si="20"/>
        <v>0</v>
      </c>
      <c r="E42" s="31" t="e">
        <f t="shared" si="21"/>
        <v>#DIV/0!</v>
      </c>
      <c r="F42" s="20">
        <v>0</v>
      </c>
      <c r="G42" s="48">
        <v>0</v>
      </c>
      <c r="H42" s="19">
        <v>0</v>
      </c>
      <c r="I42" s="55">
        <f>(H42*F42/4)/K42</f>
        <v>0</v>
      </c>
      <c r="J42" s="51">
        <v>153.65</v>
      </c>
      <c r="K42" s="20">
        <v>153.066</v>
      </c>
      <c r="L42" s="27">
        <f t="shared" si="29"/>
        <v>0</v>
      </c>
      <c r="M42" s="26">
        <f t="shared" si="22"/>
        <v>0</v>
      </c>
      <c r="N42" s="18" t="e">
        <f t="shared" si="18"/>
        <v>#DIV/0!</v>
      </c>
      <c r="O42" s="100">
        <f t="shared" si="23"/>
        <v>0</v>
      </c>
      <c r="P42" s="251"/>
      <c r="Q42" s="251"/>
      <c r="R42" s="251"/>
      <c r="S42" s="251"/>
      <c r="T42" s="24">
        <f t="shared" si="19"/>
        <v>2407.7281800000001</v>
      </c>
      <c r="U42" s="22">
        <v>15.73</v>
      </c>
      <c r="V42" s="24">
        <f t="shared" si="24"/>
        <v>0</v>
      </c>
      <c r="W42" s="24">
        <f t="shared" si="25"/>
        <v>0</v>
      </c>
      <c r="X42" s="30" t="e">
        <f t="shared" si="26"/>
        <v>#DIV/0!</v>
      </c>
      <c r="Y42" s="30" t="e">
        <f t="shared" si="27"/>
        <v>#DIV/0!</v>
      </c>
      <c r="Z42" s="32">
        <v>439974000</v>
      </c>
      <c r="AA42" s="23">
        <f t="shared" si="28"/>
        <v>0</v>
      </c>
    </row>
    <row r="43" spans="2:27" ht="22.5" customHeight="1" x14ac:dyDescent="0.25">
      <c r="B43" s="214" t="s">
        <v>250</v>
      </c>
      <c r="C43" s="17" t="s">
        <v>251</v>
      </c>
      <c r="D43" s="31">
        <f t="shared" si="20"/>
        <v>2.9792516403617662E-2</v>
      </c>
      <c r="E43" s="31">
        <f t="shared" si="21"/>
        <v>3.3385646687697161E-2</v>
      </c>
      <c r="F43" s="20">
        <f>0.42*4</f>
        <v>1.68</v>
      </c>
      <c r="G43" s="48">
        <v>70</v>
      </c>
      <c r="H43" s="19">
        <v>70.555000000000007</v>
      </c>
      <c r="I43" s="55">
        <f>(H43*F43/4)/K43</f>
        <v>0.52550274871431113</v>
      </c>
      <c r="J43" s="51">
        <v>50.72</v>
      </c>
      <c r="K43" s="20">
        <v>56.39</v>
      </c>
      <c r="L43" s="27">
        <f>J43*G43</f>
        <v>3550.4</v>
      </c>
      <c r="M43" s="26">
        <f t="shared" si="22"/>
        <v>3978.5964500000005</v>
      </c>
      <c r="N43" s="18">
        <f t="shared" si="18"/>
        <v>0.12060512899954934</v>
      </c>
      <c r="O43" s="100">
        <f t="shared" si="23"/>
        <v>118.53240000000001</v>
      </c>
      <c r="P43" s="251" t="s">
        <v>274</v>
      </c>
      <c r="Q43" s="251"/>
      <c r="R43" s="251"/>
      <c r="S43" s="251"/>
      <c r="T43" s="24">
        <f t="shared" si="19"/>
        <v>17650.07</v>
      </c>
      <c r="U43" s="22">
        <v>313</v>
      </c>
      <c r="V43" s="24">
        <f t="shared" si="24"/>
        <v>118.53240000000001</v>
      </c>
      <c r="W43" s="24">
        <f t="shared" si="25"/>
        <v>525.84</v>
      </c>
      <c r="X43" s="30">
        <f t="shared" si="26"/>
        <v>2.9792516403617662E-2</v>
      </c>
      <c r="Y43" s="30">
        <f t="shared" si="27"/>
        <v>0.13216721188196906</v>
      </c>
      <c r="Z43" s="32">
        <v>87847000</v>
      </c>
      <c r="AA43" s="23">
        <f t="shared" si="28"/>
        <v>8.0315776292872841E-7</v>
      </c>
    </row>
    <row r="44" spans="2:27" ht="22.5" customHeight="1" x14ac:dyDescent="0.25">
      <c r="B44" s="213" t="s">
        <v>114</v>
      </c>
      <c r="C44" s="17" t="s">
        <v>159</v>
      </c>
      <c r="D44" s="31">
        <f t="shared" si="20"/>
        <v>1.4598540145985403E-2</v>
      </c>
      <c r="E44" s="31">
        <f t="shared" si="21"/>
        <v>1.5140056683986778E-2</v>
      </c>
      <c r="F44" s="20">
        <f>0.78*2</f>
        <v>1.56</v>
      </c>
      <c r="G44" s="48">
        <v>24</v>
      </c>
      <c r="H44" s="19">
        <v>24.655000000000001</v>
      </c>
      <c r="I44" s="55">
        <f>(H44*F44/4)/K44</f>
        <v>8.9981751824817532E-2</v>
      </c>
      <c r="J44" s="51">
        <v>105.85</v>
      </c>
      <c r="K44" s="20">
        <v>106.86</v>
      </c>
      <c r="L44" s="27">
        <f t="shared" si="29"/>
        <v>2540.3999999999996</v>
      </c>
      <c r="M44" s="26">
        <f t="shared" si="22"/>
        <v>2634.6333</v>
      </c>
      <c r="N44" s="18">
        <f t="shared" si="18"/>
        <v>3.7093882853094229E-2</v>
      </c>
      <c r="O44" s="100">
        <f t="shared" si="23"/>
        <v>38.461800000000004</v>
      </c>
      <c r="P44" s="251" t="s">
        <v>263</v>
      </c>
      <c r="Q44" s="280">
        <v>17.829999999999998</v>
      </c>
      <c r="R44" s="280">
        <v>19.29</v>
      </c>
      <c r="S44" s="281">
        <f>Q44/R44-1</f>
        <v>-7.5686884396060194E-2</v>
      </c>
      <c r="T44" s="24">
        <f t="shared" si="19"/>
        <v>4488.12</v>
      </c>
      <c r="U44" s="22">
        <v>42</v>
      </c>
      <c r="V44" s="24">
        <f t="shared" si="24"/>
        <v>38.461800000000004</v>
      </c>
      <c r="W44" s="24">
        <f t="shared" si="25"/>
        <v>65.52</v>
      </c>
      <c r="X44" s="30">
        <f t="shared" si="26"/>
        <v>1.4598540145985403E-2</v>
      </c>
      <c r="Y44" s="30">
        <f t="shared" si="27"/>
        <v>2.4868736002084234E-2</v>
      </c>
      <c r="Z44" s="32">
        <v>1581248000</v>
      </c>
      <c r="AA44" s="23">
        <f t="shared" si="28"/>
        <v>1.5592114582911727E-8</v>
      </c>
    </row>
    <row r="45" spans="2:27" ht="22.5" hidden="1" customHeight="1" x14ac:dyDescent="0.25">
      <c r="B45" s="213" t="s">
        <v>116</v>
      </c>
      <c r="C45" s="17" t="s">
        <v>160</v>
      </c>
      <c r="D45" s="31">
        <f t="shared" si="20"/>
        <v>1.7559282630355364E-2</v>
      </c>
      <c r="E45" s="31" t="e">
        <f t="shared" si="21"/>
        <v>#DIV/0!</v>
      </c>
      <c r="F45" s="20">
        <f>0.0182*29.05</f>
        <v>0.52871000000000001</v>
      </c>
      <c r="G45" s="48">
        <v>0</v>
      </c>
      <c r="H45" s="19">
        <v>0</v>
      </c>
      <c r="I45" s="55">
        <f>(H45*F45/4)/K45</f>
        <v>0</v>
      </c>
      <c r="J45" s="51">
        <v>28.84</v>
      </c>
      <c r="K45" s="20">
        <v>30.11</v>
      </c>
      <c r="L45" s="27">
        <f t="shared" si="29"/>
        <v>0</v>
      </c>
      <c r="M45" s="26">
        <f t="shared" si="22"/>
        <v>0</v>
      </c>
      <c r="N45" s="18" t="e">
        <f t="shared" si="18"/>
        <v>#DIV/0!</v>
      </c>
      <c r="O45" s="100">
        <f t="shared" si="23"/>
        <v>0</v>
      </c>
      <c r="P45" s="251"/>
      <c r="Q45" s="251"/>
      <c r="R45" s="251"/>
      <c r="S45" s="251"/>
      <c r="T45" s="24">
        <f t="shared" si="19"/>
        <v>225.82499999999999</v>
      </c>
      <c r="U45" s="22">
        <v>7.5</v>
      </c>
      <c r="V45" s="24">
        <f t="shared" si="24"/>
        <v>0</v>
      </c>
      <c r="W45" s="24">
        <f t="shared" si="25"/>
        <v>3.965325</v>
      </c>
      <c r="X45" s="30" t="e">
        <f t="shared" si="26"/>
        <v>#DIV/0!</v>
      </c>
      <c r="Y45" s="30" t="e">
        <f t="shared" si="27"/>
        <v>#DIV/0!</v>
      </c>
      <c r="Z45" s="32"/>
      <c r="AA45" s="23" t="e">
        <f t="shared" si="28"/>
        <v>#DIV/0!</v>
      </c>
    </row>
    <row r="46" spans="2:27" ht="22.5" customHeight="1" x14ac:dyDescent="0.25">
      <c r="B46" s="213" t="s">
        <v>191</v>
      </c>
      <c r="C46" s="17" t="s">
        <v>192</v>
      </c>
      <c r="D46" s="31" t="s">
        <v>96</v>
      </c>
      <c r="E46" s="31" t="s">
        <v>96</v>
      </c>
      <c r="F46" s="20"/>
      <c r="G46" s="48">
        <v>115</v>
      </c>
      <c r="H46" s="19">
        <v>115</v>
      </c>
      <c r="I46" s="55"/>
      <c r="J46" s="51">
        <f>L46/115</f>
        <v>38.741130434782605</v>
      </c>
      <c r="K46" s="20">
        <v>40.49</v>
      </c>
      <c r="L46" s="27">
        <v>4455.2299999999996</v>
      </c>
      <c r="M46" s="26">
        <f t="shared" si="22"/>
        <v>4656.3500000000004</v>
      </c>
      <c r="N46" s="18">
        <f t="shared" si="18"/>
        <v>4.5142450558108393E-2</v>
      </c>
      <c r="O46" s="100">
        <f t="shared" si="23"/>
        <v>0</v>
      </c>
      <c r="P46" s="251" t="s">
        <v>269</v>
      </c>
      <c r="Q46" s="280">
        <v>66.040000000000006</v>
      </c>
      <c r="R46" s="280">
        <v>13.32</v>
      </c>
      <c r="S46" s="281">
        <f>Q46/R46-1</f>
        <v>3.9579579579579587</v>
      </c>
      <c r="T46" s="24">
        <f t="shared" si="19"/>
        <v>0</v>
      </c>
      <c r="U46" s="22"/>
      <c r="V46" s="24"/>
      <c r="W46" s="24"/>
      <c r="X46" s="30"/>
      <c r="Y46" s="30"/>
      <c r="Z46" s="32">
        <v>104290000</v>
      </c>
      <c r="AA46" s="23">
        <f t="shared" si="28"/>
        <v>1.1026944098187746E-6</v>
      </c>
    </row>
    <row r="47" spans="2:27" ht="22.5" customHeight="1" x14ac:dyDescent="0.25">
      <c r="B47" s="213" t="s">
        <v>83</v>
      </c>
      <c r="C47" s="17" t="s">
        <v>133</v>
      </c>
      <c r="D47" s="31">
        <f t="shared" ref="D47:D56" si="30">F47/K47</f>
        <v>3.5450516986706058E-2</v>
      </c>
      <c r="E47" s="31">
        <f>(H47*F47)/L47</f>
        <v>4.1029272372456092E-2</v>
      </c>
      <c r="F47" s="20">
        <f>0.24*4</f>
        <v>0.96</v>
      </c>
      <c r="G47" s="54">
        <v>102</v>
      </c>
      <c r="H47" s="19">
        <v>110.379</v>
      </c>
      <c r="I47" s="55">
        <f t="shared" ref="I47:I57" si="31">(H47*F47/4)/K47</f>
        <v>0.97824815361890705</v>
      </c>
      <c r="J47" s="51">
        <v>25.32</v>
      </c>
      <c r="K47" s="20">
        <v>27.08</v>
      </c>
      <c r="L47" s="27">
        <f t="shared" si="29"/>
        <v>2582.64</v>
      </c>
      <c r="M47" s="26">
        <f t="shared" si="22"/>
        <v>2989.0633199999997</v>
      </c>
      <c r="N47" s="18">
        <f t="shared" si="18"/>
        <v>0.15736739150636558</v>
      </c>
      <c r="O47" s="100">
        <f t="shared" ref="O47:O61" si="32">H47*F47</f>
        <v>105.96384</v>
      </c>
      <c r="P47" s="251" t="s">
        <v>273</v>
      </c>
      <c r="Q47" s="251">
        <v>17.7</v>
      </c>
      <c r="R47" s="251">
        <v>48.57</v>
      </c>
      <c r="S47" s="281">
        <f>Q47/R47-1</f>
        <v>-0.63557751698579379</v>
      </c>
      <c r="T47" s="24">
        <f t="shared" si="19"/>
        <v>32495.999999999996</v>
      </c>
      <c r="U47" s="22">
        <v>1200</v>
      </c>
      <c r="V47" s="24">
        <f t="shared" ref="V47:V62" si="33">H47*F47</f>
        <v>105.96384</v>
      </c>
      <c r="W47" s="24">
        <f>U47*F47</f>
        <v>1152</v>
      </c>
      <c r="X47" s="30">
        <f>V47/M47</f>
        <v>3.5450516986706058E-2</v>
      </c>
      <c r="Y47" s="30">
        <f>W47/M47</f>
        <v>0.38540501711419084</v>
      </c>
      <c r="Z47" s="32">
        <v>8708714000</v>
      </c>
      <c r="AA47" s="23">
        <f t="shared" si="28"/>
        <v>1.2674546437051442E-8</v>
      </c>
    </row>
    <row r="48" spans="2:27" ht="22.5" hidden="1" customHeight="1" x14ac:dyDescent="0.25">
      <c r="B48" s="213" t="s">
        <v>9</v>
      </c>
      <c r="C48" s="17" t="s">
        <v>161</v>
      </c>
      <c r="D48" s="31">
        <f t="shared" si="30"/>
        <v>4.027972027972028E-2</v>
      </c>
      <c r="E48" s="31" t="e">
        <f>(H48*F48)/L48</f>
        <v>#DIV/0!</v>
      </c>
      <c r="F48" s="20">
        <f>0.36*4</f>
        <v>1.44</v>
      </c>
      <c r="G48" s="54">
        <v>0</v>
      </c>
      <c r="H48" s="19">
        <v>0</v>
      </c>
      <c r="I48" s="55">
        <f t="shared" si="31"/>
        <v>0</v>
      </c>
      <c r="J48" s="51">
        <v>32.590000000000003</v>
      </c>
      <c r="K48" s="20">
        <v>35.75</v>
      </c>
      <c r="L48" s="27">
        <f t="shared" si="29"/>
        <v>0</v>
      </c>
      <c r="M48" s="26">
        <f t="shared" si="22"/>
        <v>0</v>
      </c>
      <c r="N48" s="18" t="e">
        <f t="shared" si="18"/>
        <v>#DIV/0!</v>
      </c>
      <c r="O48" s="100">
        <f t="shared" si="32"/>
        <v>0</v>
      </c>
      <c r="P48" s="251"/>
      <c r="Q48" s="251"/>
      <c r="R48" s="251"/>
      <c r="S48" s="251"/>
      <c r="T48" s="24">
        <f t="shared" si="19"/>
        <v>24095.5</v>
      </c>
      <c r="U48" s="22">
        <v>674</v>
      </c>
      <c r="V48" s="24">
        <f t="shared" si="33"/>
        <v>0</v>
      </c>
      <c r="W48" s="24">
        <f>U48*F48</f>
        <v>970.56</v>
      </c>
      <c r="X48" s="30" t="e">
        <f>V48/M48</f>
        <v>#DIV/0!</v>
      </c>
      <c r="Y48" s="30" t="e">
        <f>W48/M48</f>
        <v>#DIV/0!</v>
      </c>
      <c r="Z48" s="32">
        <v>1610366000</v>
      </c>
      <c r="AA48" s="23">
        <f t="shared" si="28"/>
        <v>0</v>
      </c>
    </row>
    <row r="49" spans="2:29" ht="22.5" customHeight="1" x14ac:dyDescent="0.25">
      <c r="B49" s="213" t="s">
        <v>2</v>
      </c>
      <c r="C49" s="17" t="s">
        <v>148</v>
      </c>
      <c r="D49" s="31">
        <f t="shared" si="30"/>
        <v>0.11741682974559686</v>
      </c>
      <c r="E49" s="31">
        <f>(H49*F49)/L49</f>
        <v>7.9674467977556507E-2</v>
      </c>
      <c r="F49" s="20">
        <v>6</v>
      </c>
      <c r="G49" s="54">
        <v>10</v>
      </c>
      <c r="H49" s="19">
        <v>13.135</v>
      </c>
      <c r="I49" s="55">
        <f t="shared" si="31"/>
        <v>0.38556751467710371</v>
      </c>
      <c r="J49" s="51">
        <f>(7*100.58+(95.03*3))/10</f>
        <v>98.914999999999992</v>
      </c>
      <c r="K49" s="20">
        <v>51.1</v>
      </c>
      <c r="L49" s="27">
        <f t="shared" si="29"/>
        <v>989.14999999999986</v>
      </c>
      <c r="M49" s="26">
        <f t="shared" si="22"/>
        <v>671.19849999999997</v>
      </c>
      <c r="N49" s="18">
        <f t="shared" si="18"/>
        <v>-0.32143911439114381</v>
      </c>
      <c r="O49" s="100">
        <f t="shared" si="32"/>
        <v>78.81</v>
      </c>
      <c r="P49" s="251" t="s">
        <v>273</v>
      </c>
      <c r="Q49" s="251"/>
      <c r="R49" s="251"/>
      <c r="S49" s="251"/>
      <c r="T49" s="24">
        <f t="shared" si="19"/>
        <v>56210</v>
      </c>
      <c r="U49" s="22">
        <v>1100</v>
      </c>
      <c r="V49" s="24">
        <f t="shared" si="33"/>
        <v>78.81</v>
      </c>
      <c r="W49" s="24">
        <f>U49*F49</f>
        <v>6600</v>
      </c>
      <c r="X49" s="30">
        <f>V49/M49</f>
        <v>0.11741682974559688</v>
      </c>
      <c r="Y49" s="30">
        <f>W49/M49</f>
        <v>9.8331566593191138</v>
      </c>
      <c r="Z49" s="32">
        <v>155912000</v>
      </c>
      <c r="AA49" s="23">
        <f t="shared" si="28"/>
        <v>8.4246241469546917E-8</v>
      </c>
    </row>
    <row r="50" spans="2:29" ht="22.5" hidden="1" customHeight="1" x14ac:dyDescent="0.25">
      <c r="B50" s="213" t="s">
        <v>73</v>
      </c>
      <c r="C50" s="17"/>
      <c r="D50" s="31" t="e">
        <f t="shared" si="30"/>
        <v>#DIV/0!</v>
      </c>
      <c r="E50" s="31">
        <f t="shared" ref="E50:E59" si="34">F50/J50</f>
        <v>1.3794209639906969E-2</v>
      </c>
      <c r="F50" s="20">
        <f>0.43*4</f>
        <v>1.72</v>
      </c>
      <c r="G50" s="54">
        <v>0</v>
      </c>
      <c r="H50" s="19">
        <v>0</v>
      </c>
      <c r="I50" s="55" t="e">
        <f t="shared" si="31"/>
        <v>#DIV/0!</v>
      </c>
      <c r="J50" s="51">
        <v>124.69</v>
      </c>
      <c r="K50" s="20">
        <v>0</v>
      </c>
      <c r="L50" s="27">
        <f t="shared" si="29"/>
        <v>0</v>
      </c>
      <c r="M50" s="26">
        <f t="shared" si="22"/>
        <v>0</v>
      </c>
      <c r="N50" s="18" t="e">
        <f t="shared" si="18"/>
        <v>#DIV/0!</v>
      </c>
      <c r="O50" s="100">
        <f t="shared" si="32"/>
        <v>0</v>
      </c>
      <c r="P50" s="251"/>
      <c r="Q50" s="251"/>
      <c r="R50" s="251"/>
      <c r="S50" s="251"/>
      <c r="T50" s="24" t="e">
        <f t="shared" si="19"/>
        <v>#VALUE!</v>
      </c>
      <c r="U50" s="22" t="s">
        <v>96</v>
      </c>
      <c r="V50" s="24">
        <f t="shared" si="33"/>
        <v>0</v>
      </c>
      <c r="W50" s="24"/>
      <c r="X50" s="30" t="e">
        <f t="shared" ref="X50:X57" si="35">V50/M50</f>
        <v>#DIV/0!</v>
      </c>
      <c r="Y50" s="30" t="e">
        <f t="shared" ref="Y50:Y57" si="36">W50/M50</f>
        <v>#DIV/0!</v>
      </c>
      <c r="Z50" s="32"/>
      <c r="AA50" s="23" t="e">
        <f t="shared" si="28"/>
        <v>#DIV/0!</v>
      </c>
    </row>
    <row r="51" spans="2:29" ht="22.5" hidden="1" customHeight="1" x14ac:dyDescent="0.25">
      <c r="B51" s="213" t="s">
        <v>10</v>
      </c>
      <c r="C51" s="17"/>
      <c r="D51" s="31" t="e">
        <f t="shared" si="30"/>
        <v>#DIV/0!</v>
      </c>
      <c r="E51" s="31">
        <f t="shared" si="34"/>
        <v>1.3308754102783149E-2</v>
      </c>
      <c r="F51" s="20">
        <f>0.37*4</f>
        <v>1.48</v>
      </c>
      <c r="G51" s="54">
        <v>0</v>
      </c>
      <c r="H51" s="19">
        <v>0</v>
      </c>
      <c r="I51" s="55" t="e">
        <f t="shared" si="31"/>
        <v>#DIV/0!</v>
      </c>
      <c r="J51" s="51">
        <v>111.205</v>
      </c>
      <c r="K51" s="20">
        <v>0</v>
      </c>
      <c r="L51" s="27">
        <f t="shared" si="29"/>
        <v>0</v>
      </c>
      <c r="M51" s="26">
        <f t="shared" si="22"/>
        <v>0</v>
      </c>
      <c r="N51" s="18" t="e">
        <f t="shared" si="18"/>
        <v>#DIV/0!</v>
      </c>
      <c r="O51" s="100">
        <f t="shared" si="32"/>
        <v>0</v>
      </c>
      <c r="P51" s="251"/>
      <c r="Q51" s="251"/>
      <c r="R51" s="251"/>
      <c r="S51" s="251"/>
      <c r="T51" s="24" t="e">
        <f t="shared" si="19"/>
        <v>#VALUE!</v>
      </c>
      <c r="U51" s="22" t="s">
        <v>96</v>
      </c>
      <c r="V51" s="24">
        <f t="shared" si="33"/>
        <v>0</v>
      </c>
      <c r="W51" s="24"/>
      <c r="X51" s="30" t="e">
        <f t="shared" si="35"/>
        <v>#DIV/0!</v>
      </c>
      <c r="Y51" s="30" t="e">
        <f t="shared" si="36"/>
        <v>#DIV/0!</v>
      </c>
      <c r="Z51" s="32"/>
      <c r="AA51" s="23" t="e">
        <f t="shared" si="28"/>
        <v>#DIV/0!</v>
      </c>
    </row>
    <row r="52" spans="2:29" ht="22.5" hidden="1" customHeight="1" x14ac:dyDescent="0.25">
      <c r="B52" s="213" t="s">
        <v>11</v>
      </c>
      <c r="C52" s="17"/>
      <c r="D52" s="31">
        <f t="shared" si="30"/>
        <v>2.4691358024691357E-2</v>
      </c>
      <c r="E52" s="31">
        <f t="shared" si="34"/>
        <v>3.3682634730538924E-2</v>
      </c>
      <c r="F52" s="20">
        <f>0.225*4</f>
        <v>0.9</v>
      </c>
      <c r="G52" s="54"/>
      <c r="H52" s="19"/>
      <c r="I52" s="55">
        <f t="shared" si="31"/>
        <v>0</v>
      </c>
      <c r="J52" s="51">
        <v>26.72</v>
      </c>
      <c r="K52" s="20">
        <v>36.450000000000003</v>
      </c>
      <c r="L52" s="27">
        <f t="shared" si="29"/>
        <v>0</v>
      </c>
      <c r="M52" s="26">
        <f t="shared" si="22"/>
        <v>0</v>
      </c>
      <c r="N52" s="18" t="e">
        <f t="shared" si="18"/>
        <v>#DIV/0!</v>
      </c>
      <c r="O52" s="100">
        <f t="shared" si="32"/>
        <v>0</v>
      </c>
      <c r="P52" s="251"/>
      <c r="Q52" s="251"/>
      <c r="R52" s="251"/>
      <c r="S52" s="251"/>
      <c r="T52" s="24">
        <f t="shared" si="19"/>
        <v>665.57700000000011</v>
      </c>
      <c r="U52" s="22">
        <v>18.260000000000002</v>
      </c>
      <c r="V52" s="24">
        <f t="shared" si="33"/>
        <v>0</v>
      </c>
      <c r="W52" s="24">
        <f>U52*F52</f>
        <v>16.434000000000001</v>
      </c>
      <c r="X52" s="30" t="e">
        <f t="shared" si="35"/>
        <v>#DIV/0!</v>
      </c>
      <c r="Y52" s="30" t="e">
        <f t="shared" si="36"/>
        <v>#DIV/0!</v>
      </c>
      <c r="Z52" s="32">
        <v>4950000000</v>
      </c>
      <c r="AA52" s="23">
        <f t="shared" si="28"/>
        <v>0</v>
      </c>
    </row>
    <row r="53" spans="2:29" ht="22.5" hidden="1" customHeight="1" x14ac:dyDescent="0.25">
      <c r="B53" s="213" t="s">
        <v>12</v>
      </c>
      <c r="C53" s="17"/>
      <c r="D53" s="31">
        <f t="shared" si="30"/>
        <v>3.306565895134625E-2</v>
      </c>
      <c r="E53" s="31">
        <f t="shared" si="34"/>
        <v>3.6738978306508054E-2</v>
      </c>
      <c r="F53" s="20">
        <v>2.1</v>
      </c>
      <c r="G53" s="54">
        <v>0</v>
      </c>
      <c r="H53" s="19">
        <v>0</v>
      </c>
      <c r="I53" s="55">
        <f t="shared" si="31"/>
        <v>0</v>
      </c>
      <c r="J53" s="51">
        <v>57.16</v>
      </c>
      <c r="K53" s="20">
        <v>63.51</v>
      </c>
      <c r="L53" s="27">
        <f t="shared" si="29"/>
        <v>0</v>
      </c>
      <c r="M53" s="26">
        <f t="shared" si="22"/>
        <v>0</v>
      </c>
      <c r="N53" s="18" t="e">
        <f t="shared" si="18"/>
        <v>#DIV/0!</v>
      </c>
      <c r="O53" s="100">
        <f t="shared" si="32"/>
        <v>0</v>
      </c>
      <c r="P53" s="251"/>
      <c r="Q53" s="251"/>
      <c r="R53" s="251"/>
      <c r="S53" s="251"/>
      <c r="T53" s="24">
        <f t="shared" si="19"/>
        <v>3963.0239999999999</v>
      </c>
      <c r="U53" s="22">
        <v>62.4</v>
      </c>
      <c r="V53" s="24">
        <f t="shared" si="33"/>
        <v>0</v>
      </c>
      <c r="W53" s="24">
        <f>U53*F53</f>
        <v>131.04</v>
      </c>
      <c r="X53" s="30" t="e">
        <f t="shared" si="35"/>
        <v>#DIV/0!</v>
      </c>
      <c r="Y53" s="30" t="e">
        <f t="shared" si="36"/>
        <v>#DIV/0!</v>
      </c>
      <c r="Z53" s="32">
        <v>594710000</v>
      </c>
      <c r="AA53" s="23">
        <f t="shared" si="28"/>
        <v>0</v>
      </c>
    </row>
    <row r="54" spans="2:29" ht="22.5" hidden="1" customHeight="1" x14ac:dyDescent="0.25">
      <c r="B54" s="213" t="s">
        <v>13</v>
      </c>
      <c r="C54" s="17"/>
      <c r="D54" s="31" t="e">
        <f t="shared" si="30"/>
        <v>#DIV/0!</v>
      </c>
      <c r="E54" s="31">
        <f t="shared" si="34"/>
        <v>2.7709054923305297E-2</v>
      </c>
      <c r="F54" s="20">
        <f>0.28*4</f>
        <v>1.1200000000000001</v>
      </c>
      <c r="G54" s="54">
        <v>0</v>
      </c>
      <c r="H54" s="19">
        <v>0</v>
      </c>
      <c r="I54" s="55" t="e">
        <f t="shared" si="31"/>
        <v>#DIV/0!</v>
      </c>
      <c r="J54" s="51">
        <v>40.42</v>
      </c>
      <c r="K54" s="20">
        <v>0</v>
      </c>
      <c r="L54" s="27">
        <f t="shared" si="29"/>
        <v>0</v>
      </c>
      <c r="M54" s="26">
        <f t="shared" si="22"/>
        <v>0</v>
      </c>
      <c r="N54" s="18" t="e">
        <f t="shared" si="18"/>
        <v>#DIV/0!</v>
      </c>
      <c r="O54" s="100">
        <f t="shared" si="32"/>
        <v>0</v>
      </c>
      <c r="P54" s="251"/>
      <c r="Q54" s="251"/>
      <c r="R54" s="251"/>
      <c r="S54" s="251"/>
      <c r="T54" s="24" t="e">
        <f t="shared" si="19"/>
        <v>#VALUE!</v>
      </c>
      <c r="U54" s="22" t="s">
        <v>96</v>
      </c>
      <c r="V54" s="24">
        <f t="shared" si="33"/>
        <v>0</v>
      </c>
      <c r="W54" s="24"/>
      <c r="X54" s="30" t="e">
        <f t="shared" si="35"/>
        <v>#DIV/0!</v>
      </c>
      <c r="Y54" s="30" t="e">
        <f t="shared" si="36"/>
        <v>#DIV/0!</v>
      </c>
      <c r="Z54" s="32"/>
      <c r="AA54" s="23" t="e">
        <f t="shared" si="28"/>
        <v>#DIV/0!</v>
      </c>
    </row>
    <row r="55" spans="2:29" ht="22.5" hidden="1" customHeight="1" x14ac:dyDescent="0.25">
      <c r="B55" s="213" t="s">
        <v>86</v>
      </c>
      <c r="C55" s="17"/>
      <c r="D55" s="31">
        <f t="shared" si="30"/>
        <v>4.1701409624857896E-2</v>
      </c>
      <c r="E55" s="31">
        <f t="shared" si="34"/>
        <v>4.9217361359570659E-2</v>
      </c>
      <c r="F55" s="20">
        <f>0.1834167*12</f>
        <v>2.2010003999999999</v>
      </c>
      <c r="G55" s="54">
        <v>0</v>
      </c>
      <c r="H55" s="19"/>
      <c r="I55" s="55">
        <f t="shared" si="31"/>
        <v>0</v>
      </c>
      <c r="J55" s="51">
        <v>44.72</v>
      </c>
      <c r="K55" s="20">
        <v>52.78</v>
      </c>
      <c r="L55" s="27">
        <f t="shared" si="29"/>
        <v>0</v>
      </c>
      <c r="M55" s="26">
        <f t="shared" si="22"/>
        <v>0</v>
      </c>
      <c r="N55" s="18" t="e">
        <f t="shared" si="18"/>
        <v>#DIV/0!</v>
      </c>
      <c r="O55" s="100">
        <f t="shared" si="32"/>
        <v>0</v>
      </c>
      <c r="P55" s="251"/>
      <c r="Q55" s="251"/>
      <c r="R55" s="251"/>
      <c r="S55" s="251"/>
      <c r="T55" s="24">
        <f t="shared" si="19"/>
        <v>0</v>
      </c>
      <c r="U55" s="22"/>
      <c r="V55" s="24">
        <f t="shared" si="33"/>
        <v>0</v>
      </c>
      <c r="W55" s="24">
        <f>U55*F55</f>
        <v>0</v>
      </c>
      <c r="X55" s="30" t="e">
        <f t="shared" si="35"/>
        <v>#DIV/0!</v>
      </c>
      <c r="Y55" s="30" t="e">
        <f t="shared" si="36"/>
        <v>#DIV/0!</v>
      </c>
      <c r="Z55" s="32">
        <v>222630000</v>
      </c>
      <c r="AA55" s="23">
        <f t="shared" si="28"/>
        <v>0</v>
      </c>
    </row>
    <row r="56" spans="2:29" ht="22.5" hidden="1" customHeight="1" x14ac:dyDescent="0.25">
      <c r="B56" s="213" t="s">
        <v>14</v>
      </c>
      <c r="C56" s="17"/>
      <c r="D56" s="31">
        <f t="shared" si="30"/>
        <v>2.7830890163586149E-2</v>
      </c>
      <c r="E56" s="31" t="e">
        <f t="shared" si="34"/>
        <v>#DIV/0!</v>
      </c>
      <c r="F56" s="20">
        <f>0.655*4</f>
        <v>2.62</v>
      </c>
      <c r="G56" s="54">
        <v>2</v>
      </c>
      <c r="H56" s="19">
        <v>0</v>
      </c>
      <c r="I56" s="55">
        <f t="shared" si="31"/>
        <v>0</v>
      </c>
      <c r="J56" s="51">
        <v>0</v>
      </c>
      <c r="K56" s="20">
        <v>94.14</v>
      </c>
      <c r="L56" s="27">
        <f t="shared" si="29"/>
        <v>0</v>
      </c>
      <c r="M56" s="26">
        <f t="shared" si="22"/>
        <v>0</v>
      </c>
      <c r="N56" s="18" t="e">
        <f t="shared" si="18"/>
        <v>#DIV/0!</v>
      </c>
      <c r="O56" s="100">
        <f t="shared" si="32"/>
        <v>0</v>
      </c>
      <c r="P56" s="251"/>
      <c r="Q56" s="251"/>
      <c r="R56" s="251"/>
      <c r="S56" s="251"/>
      <c r="T56" s="24">
        <f t="shared" si="19"/>
        <v>516.07547999999997</v>
      </c>
      <c r="U56" s="22">
        <v>5.4820000000000002</v>
      </c>
      <c r="V56" s="24">
        <f t="shared" si="33"/>
        <v>0</v>
      </c>
      <c r="W56" s="24">
        <f>U56*F56</f>
        <v>14.36284</v>
      </c>
      <c r="X56" s="30" t="e">
        <f t="shared" si="35"/>
        <v>#DIV/0!</v>
      </c>
      <c r="Y56" s="30" t="e">
        <f t="shared" si="36"/>
        <v>#DIV/0!</v>
      </c>
      <c r="Z56" s="32">
        <v>1500000000</v>
      </c>
      <c r="AA56" s="23">
        <f t="shared" si="28"/>
        <v>0</v>
      </c>
      <c r="AC56" s="16">
        <f>5.05/12</f>
        <v>0.42083333333333334</v>
      </c>
    </row>
    <row r="57" spans="2:29" ht="22.5" hidden="1" customHeight="1" x14ac:dyDescent="0.25">
      <c r="B57" s="213" t="s">
        <v>111</v>
      </c>
      <c r="C57" s="17" t="s">
        <v>162</v>
      </c>
      <c r="D57" s="31">
        <v>1.8700000000000001E-2</v>
      </c>
      <c r="E57" s="31">
        <v>1.8700000000000001E-2</v>
      </c>
      <c r="F57" s="20">
        <f>E57*K57</f>
        <v>3.9933850000000004</v>
      </c>
      <c r="G57" s="54">
        <v>0</v>
      </c>
      <c r="H57" s="19">
        <v>0</v>
      </c>
      <c r="I57" s="55">
        <f t="shared" si="31"/>
        <v>0</v>
      </c>
      <c r="J57" s="51">
        <v>207.88</v>
      </c>
      <c r="K57" s="20">
        <v>213.55</v>
      </c>
      <c r="L57" s="27">
        <f t="shared" si="29"/>
        <v>0</v>
      </c>
      <c r="M57" s="26">
        <f t="shared" si="22"/>
        <v>0</v>
      </c>
      <c r="N57" s="18" t="e">
        <f t="shared" si="18"/>
        <v>#DIV/0!</v>
      </c>
      <c r="O57" s="100">
        <f t="shared" si="32"/>
        <v>0</v>
      </c>
      <c r="P57" s="251"/>
      <c r="Q57" s="251"/>
      <c r="R57" s="251"/>
      <c r="S57" s="251"/>
      <c r="T57" s="24">
        <f t="shared" si="19"/>
        <v>1708.4</v>
      </c>
      <c r="U57" s="22">
        <v>8</v>
      </c>
      <c r="V57" s="24">
        <f t="shared" si="33"/>
        <v>0</v>
      </c>
      <c r="W57" s="24">
        <f>U57*F57</f>
        <v>31.947080000000003</v>
      </c>
      <c r="X57" s="30" t="e">
        <f t="shared" si="35"/>
        <v>#DIV/0!</v>
      </c>
      <c r="Y57" s="30" t="e">
        <f t="shared" si="36"/>
        <v>#DIV/0!</v>
      </c>
      <c r="Z57" s="32"/>
      <c r="AA57" s="23"/>
    </row>
    <row r="58" spans="2:29" ht="22.5" hidden="1" customHeight="1" x14ac:dyDescent="0.25">
      <c r="B58" s="213" t="s">
        <v>91</v>
      </c>
      <c r="C58" s="17"/>
      <c r="D58" s="31"/>
      <c r="E58" s="31"/>
      <c r="F58" s="26"/>
      <c r="G58" s="54">
        <v>0</v>
      </c>
      <c r="H58" s="19">
        <v>0</v>
      </c>
      <c r="I58" s="48"/>
      <c r="J58" s="51">
        <v>6.3</v>
      </c>
      <c r="K58" s="20">
        <v>9.7100000000000009</v>
      </c>
      <c r="L58" s="27">
        <f t="shared" si="29"/>
        <v>0</v>
      </c>
      <c r="M58" s="26">
        <f t="shared" si="22"/>
        <v>0</v>
      </c>
      <c r="N58" s="18" t="e">
        <f t="shared" si="18"/>
        <v>#DIV/0!</v>
      </c>
      <c r="O58" s="100">
        <f t="shared" si="32"/>
        <v>0</v>
      </c>
      <c r="P58" s="251"/>
      <c r="Q58" s="251"/>
      <c r="R58" s="251"/>
      <c r="S58" s="251"/>
      <c r="T58" s="24">
        <f t="shared" si="19"/>
        <v>0</v>
      </c>
      <c r="U58" s="22"/>
      <c r="V58" s="24">
        <f t="shared" si="33"/>
        <v>0</v>
      </c>
      <c r="W58" s="24"/>
      <c r="X58" s="30"/>
      <c r="Y58" s="30"/>
      <c r="Z58" s="32">
        <v>3721227000</v>
      </c>
      <c r="AA58" s="23">
        <f>(H58/Z58)</f>
        <v>0</v>
      </c>
    </row>
    <row r="59" spans="2:29" ht="22.5" hidden="1" customHeight="1" x14ac:dyDescent="0.25">
      <c r="B59" s="213" t="s">
        <v>68</v>
      </c>
      <c r="C59" s="17"/>
      <c r="D59" s="31">
        <f>F59/K59</f>
        <v>6.877510040160642E-2</v>
      </c>
      <c r="E59" s="31">
        <f t="shared" si="34"/>
        <v>6.910466582597731E-2</v>
      </c>
      <c r="F59" s="26">
        <v>2.74</v>
      </c>
      <c r="G59" s="54"/>
      <c r="H59" s="19"/>
      <c r="I59" s="48"/>
      <c r="J59" s="51">
        <v>39.65</v>
      </c>
      <c r="K59" s="20">
        <v>39.840000000000003</v>
      </c>
      <c r="L59" s="27">
        <f t="shared" si="29"/>
        <v>0</v>
      </c>
      <c r="M59" s="26">
        <f t="shared" si="22"/>
        <v>0</v>
      </c>
      <c r="N59" s="18" t="e">
        <f t="shared" si="18"/>
        <v>#DIV/0!</v>
      </c>
      <c r="O59" s="100">
        <f t="shared" si="32"/>
        <v>0</v>
      </c>
      <c r="P59" s="251"/>
      <c r="Q59" s="251"/>
      <c r="R59" s="251"/>
      <c r="S59" s="251"/>
      <c r="T59" s="24">
        <f t="shared" si="19"/>
        <v>14049.974400000003</v>
      </c>
      <c r="U59" s="22">
        <v>352.66</v>
      </c>
      <c r="V59" s="24">
        <f t="shared" si="33"/>
        <v>0</v>
      </c>
      <c r="W59" s="24">
        <f>U59*F59</f>
        <v>966.28840000000014</v>
      </c>
      <c r="X59" s="30" t="e">
        <f>V59/M59</f>
        <v>#DIV/0!</v>
      </c>
      <c r="Y59" s="30" t="e">
        <f>W59/M59</f>
        <v>#DIV/0!</v>
      </c>
      <c r="Z59" s="32">
        <v>269250000</v>
      </c>
      <c r="AA59" s="23">
        <f>(H59/Z59)</f>
        <v>0</v>
      </c>
      <c r="AC59" s="16">
        <f>AC56/100</f>
        <v>4.208333333333333E-3</v>
      </c>
    </row>
    <row r="60" spans="2:29" ht="22.5" hidden="1" customHeight="1" x14ac:dyDescent="0.25">
      <c r="B60" s="213" t="s">
        <v>87</v>
      </c>
      <c r="C60" s="17"/>
      <c r="D60" s="31" t="s">
        <v>96</v>
      </c>
      <c r="E60" s="31"/>
      <c r="F60" s="26">
        <v>0</v>
      </c>
      <c r="G60" s="54">
        <v>0</v>
      </c>
      <c r="H60" s="19">
        <v>0</v>
      </c>
      <c r="I60" s="48"/>
      <c r="J60" s="51">
        <v>23.42</v>
      </c>
      <c r="K60" s="20">
        <v>0</v>
      </c>
      <c r="L60" s="27">
        <f t="shared" si="29"/>
        <v>0</v>
      </c>
      <c r="M60" s="33">
        <f t="shared" si="22"/>
        <v>0</v>
      </c>
      <c r="N60" s="18" t="e">
        <f t="shared" si="18"/>
        <v>#DIV/0!</v>
      </c>
      <c r="O60" s="100">
        <f t="shared" si="32"/>
        <v>0</v>
      </c>
      <c r="P60" s="251"/>
      <c r="Q60" s="251"/>
      <c r="R60" s="251"/>
      <c r="S60" s="251"/>
      <c r="T60" s="24">
        <f t="shared" si="19"/>
        <v>0</v>
      </c>
      <c r="U60" s="22"/>
      <c r="V60" s="24">
        <f t="shared" si="33"/>
        <v>0</v>
      </c>
      <c r="W60" s="24"/>
      <c r="X60" s="30"/>
      <c r="Y60" s="30"/>
      <c r="Z60" s="32">
        <v>833760000</v>
      </c>
      <c r="AA60" s="23">
        <f>(H60/Z60)</f>
        <v>0</v>
      </c>
      <c r="AC60" s="16">
        <f>1/AC59</f>
        <v>237.62376237623764</v>
      </c>
    </row>
    <row r="61" spans="2:29" ht="22.5" hidden="1" customHeight="1" x14ac:dyDescent="0.25">
      <c r="B61" s="213" t="s">
        <v>108</v>
      </c>
      <c r="C61" s="17"/>
      <c r="D61" s="31"/>
      <c r="E61" s="31"/>
      <c r="F61" s="26"/>
      <c r="G61" s="54">
        <v>0</v>
      </c>
      <c r="H61" s="19">
        <v>0</v>
      </c>
      <c r="I61" s="48"/>
      <c r="J61" s="51">
        <v>16.29</v>
      </c>
      <c r="K61" s="20">
        <v>16.350000000000001</v>
      </c>
      <c r="L61" s="27">
        <f t="shared" si="29"/>
        <v>0</v>
      </c>
      <c r="M61" s="33">
        <f t="shared" si="22"/>
        <v>0</v>
      </c>
      <c r="N61" s="18" t="e">
        <f t="shared" si="18"/>
        <v>#DIV/0!</v>
      </c>
      <c r="O61" s="100">
        <f t="shared" si="32"/>
        <v>0</v>
      </c>
      <c r="P61" s="251"/>
      <c r="Q61" s="251"/>
      <c r="R61" s="251"/>
      <c r="S61" s="251"/>
      <c r="T61" s="24">
        <f t="shared" si="19"/>
        <v>0</v>
      </c>
      <c r="U61" s="22"/>
      <c r="V61" s="24"/>
      <c r="W61" s="24"/>
      <c r="X61" s="30"/>
      <c r="Y61" s="30"/>
      <c r="Z61" s="32"/>
      <c r="AA61" s="23"/>
    </row>
    <row r="62" spans="2:29" ht="22.5" customHeight="1" x14ac:dyDescent="0.25">
      <c r="B62" s="213" t="s">
        <v>123</v>
      </c>
      <c r="C62" s="17" t="s">
        <v>123</v>
      </c>
      <c r="D62" s="31">
        <f>F62/K62</f>
        <v>2.3617820719269999E-2</v>
      </c>
      <c r="E62" s="31">
        <f>F62/J62</f>
        <v>2.7160493827160497E-2</v>
      </c>
      <c r="F62" s="20">
        <f>0.55/9*4</f>
        <v>0.24444444444444446</v>
      </c>
      <c r="G62" s="54">
        <v>11</v>
      </c>
      <c r="H62" s="19">
        <v>11</v>
      </c>
      <c r="I62" s="48"/>
      <c r="J62" s="51">
        <v>9</v>
      </c>
      <c r="K62" s="20">
        <v>10.35</v>
      </c>
      <c r="L62" s="27">
        <f t="shared" si="29"/>
        <v>99</v>
      </c>
      <c r="M62" s="26">
        <f t="shared" si="22"/>
        <v>113.85</v>
      </c>
      <c r="N62" s="18">
        <f t="shared" si="18"/>
        <v>0.14999999999999991</v>
      </c>
      <c r="O62" s="100">
        <f>H62*F62</f>
        <v>2.6888888888888891</v>
      </c>
      <c r="P62" s="251" t="s">
        <v>270</v>
      </c>
      <c r="Q62" s="251"/>
      <c r="R62" s="251"/>
      <c r="S62" s="251"/>
      <c r="T62" s="24">
        <f t="shared" si="19"/>
        <v>113.85</v>
      </c>
      <c r="U62" s="22">
        <v>11</v>
      </c>
      <c r="V62" s="24">
        <f t="shared" si="33"/>
        <v>2.6888888888888891</v>
      </c>
      <c r="W62" s="24">
        <f>U62*F62</f>
        <v>2.6888888888888891</v>
      </c>
      <c r="X62" s="30">
        <f>V62/M62</f>
        <v>2.3617820719269999E-2</v>
      </c>
      <c r="Y62" s="30">
        <f>W62/M62</f>
        <v>2.3617820719269999E-2</v>
      </c>
      <c r="Z62" s="32">
        <v>155912000</v>
      </c>
      <c r="AA62" s="23">
        <f>(H62/Z62)</f>
        <v>7.0552619426343066E-8</v>
      </c>
    </row>
    <row r="63" spans="2:29" ht="22.5" hidden="1" customHeight="1" x14ac:dyDescent="0.25">
      <c r="B63" s="133" t="s">
        <v>184</v>
      </c>
      <c r="C63" s="118" t="s">
        <v>183</v>
      </c>
      <c r="D63" s="119">
        <f>F63/K63</f>
        <v>5.4857142857142854E-2</v>
      </c>
      <c r="E63" s="119" t="e">
        <f>(H63*F63)/L63</f>
        <v>#DIV/0!</v>
      </c>
      <c r="F63" s="125">
        <f>0.48*4</f>
        <v>1.92</v>
      </c>
      <c r="G63" s="121">
        <v>0</v>
      </c>
      <c r="H63" s="122">
        <v>0</v>
      </c>
      <c r="I63" s="123">
        <f>(H63*F63/4)/K63</f>
        <v>0</v>
      </c>
      <c r="J63" s="124">
        <f>1701.95/50</f>
        <v>34.039000000000001</v>
      </c>
      <c r="K63" s="125">
        <v>35</v>
      </c>
      <c r="L63" s="126">
        <f t="shared" si="29"/>
        <v>0</v>
      </c>
      <c r="M63" s="120">
        <f t="shared" si="22"/>
        <v>0</v>
      </c>
      <c r="N63" s="127" t="e">
        <f t="shared" si="18"/>
        <v>#DIV/0!</v>
      </c>
      <c r="O63" s="134">
        <f>H63*F63</f>
        <v>0</v>
      </c>
      <c r="P63" s="251"/>
      <c r="Q63" s="251"/>
      <c r="R63" s="251"/>
      <c r="S63" s="251"/>
      <c r="T63" s="24">
        <f t="shared" si="19"/>
        <v>0</v>
      </c>
      <c r="U63" s="22"/>
      <c r="V63" s="24"/>
      <c r="W63" s="24"/>
      <c r="X63" s="30"/>
      <c r="Y63" s="30"/>
      <c r="Z63" s="32"/>
      <c r="AA63" s="23"/>
    </row>
    <row r="64" spans="2:29" ht="22.5" hidden="1" customHeight="1" thickBot="1" x14ac:dyDescent="0.3">
      <c r="B64" s="107" t="s">
        <v>190</v>
      </c>
      <c r="C64" s="108" t="s">
        <v>189</v>
      </c>
      <c r="D64" s="69">
        <f>F64/K64</f>
        <v>8.2345601996257015E-3</v>
      </c>
      <c r="E64" s="69" t="e">
        <f>(H64*F64)/L64</f>
        <v>#DIV/0!</v>
      </c>
      <c r="F64" s="234">
        <f>0.165*4</f>
        <v>0.66</v>
      </c>
      <c r="G64" s="235"/>
      <c r="H64" s="236"/>
      <c r="I64" s="237">
        <f>(H64*F64/4)/K64</f>
        <v>0</v>
      </c>
      <c r="J64" s="238">
        <v>72</v>
      </c>
      <c r="K64" s="234">
        <v>80.150000000000006</v>
      </c>
      <c r="L64" s="75">
        <f t="shared" si="29"/>
        <v>0</v>
      </c>
      <c r="M64" s="112">
        <f t="shared" si="22"/>
        <v>0</v>
      </c>
      <c r="N64" s="77" t="e">
        <f t="shared" si="18"/>
        <v>#DIV/0!</v>
      </c>
      <c r="O64" s="113">
        <f>H64*F64</f>
        <v>0</v>
      </c>
      <c r="P64" s="251"/>
      <c r="Q64" s="251"/>
      <c r="R64" s="251"/>
      <c r="S64" s="251"/>
      <c r="T64" s="24">
        <f t="shared" si="19"/>
        <v>0</v>
      </c>
      <c r="U64" s="22"/>
      <c r="V64" s="24"/>
      <c r="W64" s="24"/>
      <c r="X64" s="30"/>
      <c r="Y64" s="30"/>
      <c r="Z64" s="32">
        <v>2380000000</v>
      </c>
      <c r="AA64" s="23">
        <f>(H64/Z64)</f>
        <v>0</v>
      </c>
    </row>
    <row r="65" spans="2:36" ht="22.5" customHeight="1" thickBot="1" x14ac:dyDescent="0.3">
      <c r="B65" s="107" t="s">
        <v>62</v>
      </c>
      <c r="C65" s="108" t="s">
        <v>129</v>
      </c>
      <c r="D65" s="119">
        <f>F65/K65</f>
        <v>5.1516503122212308E-2</v>
      </c>
      <c r="E65" s="119">
        <f>F65/J65</f>
        <v>4.7162106982441818E-2</v>
      </c>
      <c r="F65" s="234">
        <f>0.5775*4</f>
        <v>2.31</v>
      </c>
      <c r="G65" s="235">
        <v>31</v>
      </c>
      <c r="H65" s="236">
        <v>31</v>
      </c>
      <c r="I65" s="55">
        <f>(H65*F65/4)/K65</f>
        <v>0.39925289919714535</v>
      </c>
      <c r="J65" s="244">
        <v>48.98</v>
      </c>
      <c r="K65" s="234">
        <v>44.84</v>
      </c>
      <c r="L65" s="27">
        <f t="shared" si="29"/>
        <v>1518.3799999999999</v>
      </c>
      <c r="M65" s="26">
        <f t="shared" si="22"/>
        <v>1390.0400000000002</v>
      </c>
      <c r="N65" s="18">
        <f t="shared" si="18"/>
        <v>-8.4524295630869495E-2</v>
      </c>
      <c r="O65" s="100">
        <f>H65*F65</f>
        <v>71.61</v>
      </c>
      <c r="P65" s="251" t="s">
        <v>271</v>
      </c>
      <c r="Q65" s="280">
        <v>12.44</v>
      </c>
      <c r="R65" s="280">
        <v>35.51</v>
      </c>
      <c r="S65" s="281">
        <f>Q65/R65-1</f>
        <v>-0.64967614756406644</v>
      </c>
      <c r="T65" s="24">
        <f t="shared" si="19"/>
        <v>14617.840000000002</v>
      </c>
      <c r="U65" s="22">
        <v>326</v>
      </c>
      <c r="V65" s="24">
        <f>H65*F65</f>
        <v>71.61</v>
      </c>
      <c r="W65" s="24">
        <f>U65*F65</f>
        <v>753.06000000000006</v>
      </c>
      <c r="X65" s="30">
        <f>V65/M65</f>
        <v>5.1516503122212301E-2</v>
      </c>
      <c r="Y65" s="30">
        <f>W65/M65</f>
        <v>0.54175419412391013</v>
      </c>
      <c r="Z65" s="32">
        <v>4080000000</v>
      </c>
      <c r="AA65" s="23">
        <f>(H65/Z65)</f>
        <v>7.5980392156862748E-9</v>
      </c>
    </row>
    <row r="66" spans="2:36" ht="22.5" customHeight="1" thickBot="1" x14ac:dyDescent="0.3">
      <c r="B66" s="107" t="s">
        <v>252</v>
      </c>
      <c r="C66" s="108" t="s">
        <v>253</v>
      </c>
      <c r="D66" s="31">
        <f>F66/K66</f>
        <v>5.94828874607682E-2</v>
      </c>
      <c r="E66" s="31">
        <f>F66/J66</f>
        <v>6.4841968067774522E-2</v>
      </c>
      <c r="F66" s="234">
        <f>0.995*4</f>
        <v>3.98</v>
      </c>
      <c r="G66" s="235">
        <v>65</v>
      </c>
      <c r="H66" s="236">
        <v>66.025999999999996</v>
      </c>
      <c r="I66" s="55">
        <f>(H66*F66/4)/K66</f>
        <v>0.9818542818711703</v>
      </c>
      <c r="J66" s="51">
        <v>61.38</v>
      </c>
      <c r="K66" s="234">
        <v>66.91</v>
      </c>
      <c r="L66" s="27">
        <f t="shared" si="29"/>
        <v>3989.7000000000003</v>
      </c>
      <c r="M66" s="26">
        <f t="shared" si="22"/>
        <v>4417.7996599999997</v>
      </c>
      <c r="N66" s="18">
        <f t="shared" si="18"/>
        <v>0.10730121563024775</v>
      </c>
      <c r="O66" s="100">
        <f>H66*F66</f>
        <v>262.78348</v>
      </c>
      <c r="P66" s="251" t="s">
        <v>274</v>
      </c>
      <c r="Q66" s="251"/>
      <c r="R66" s="251"/>
      <c r="S66" s="251"/>
      <c r="T66" s="24">
        <f t="shared" si="19"/>
        <v>85778.62</v>
      </c>
      <c r="U66" s="22">
        <v>1282</v>
      </c>
      <c r="V66" s="24">
        <f>H66*F66</f>
        <v>262.78348</v>
      </c>
      <c r="W66" s="24">
        <f>U66*F66</f>
        <v>5102.3599999999997</v>
      </c>
      <c r="X66" s="30">
        <f>V66/M66</f>
        <v>5.94828874607682E-2</v>
      </c>
      <c r="Y66" s="30">
        <f>W66/M66</f>
        <v>1.154955043841893</v>
      </c>
      <c r="Z66" s="32">
        <v>106321000</v>
      </c>
      <c r="AA66" s="23">
        <f>(H66/Z66)</f>
        <v>6.2100619821107775E-7</v>
      </c>
    </row>
    <row r="67" spans="2:36" ht="22.5" customHeight="1" thickBot="1" x14ac:dyDescent="0.3">
      <c r="B67" s="94" t="s">
        <v>65</v>
      </c>
      <c r="C67" s="95"/>
      <c r="D67" s="128">
        <f>O67/M67</f>
        <v>3.5368578291849341E-2</v>
      </c>
      <c r="E67" s="128">
        <f>O67/L67</f>
        <v>3.9101693656414797E-2</v>
      </c>
      <c r="F67" s="129"/>
      <c r="G67" s="95"/>
      <c r="H67" s="95"/>
      <c r="I67" s="95"/>
      <c r="J67" s="95"/>
      <c r="K67" s="95"/>
      <c r="L67" s="130">
        <f>SUM(L36:L66)</f>
        <v>22142.611430000001</v>
      </c>
      <c r="M67" s="131">
        <f>SUM(M36:M66)</f>
        <v>24479.740229999999</v>
      </c>
      <c r="N67" s="128">
        <f>M67/L67-1</f>
        <v>0.10554892350382539</v>
      </c>
      <c r="O67" s="132">
        <f>SUM(O37:O66)</f>
        <v>865.81360888888889</v>
      </c>
      <c r="P67" s="251"/>
      <c r="Q67" s="251"/>
      <c r="R67" s="251"/>
      <c r="S67" s="251"/>
      <c r="T67" s="24">
        <f>T57+T49+T48+T47+T45+T44+T42+T40+T38+T37</f>
        <v>223953.23318000001</v>
      </c>
      <c r="V67" s="24">
        <f>SUM(V37:V59)</f>
        <v>528.73124000000007</v>
      </c>
      <c r="W67" s="24">
        <f>SUM(W37:W59)</f>
        <v>15771.677804999999</v>
      </c>
      <c r="X67" s="30">
        <f>V67/M67</f>
        <v>2.1598727561334095E-2</v>
      </c>
      <c r="Y67" s="30">
        <f>W67/M67</f>
        <v>0.64427472092501037</v>
      </c>
      <c r="Z67" s="30"/>
      <c r="AA67" s="28" t="e">
        <f>SUM(AA36:AA49,AA52:AA53,AA55:AA60)</f>
        <v>#DIV/0!</v>
      </c>
      <c r="AC67" s="16">
        <f>AC60*42</f>
        <v>9980.198019801981</v>
      </c>
    </row>
    <row r="68" spans="2:36" ht="22.5" customHeight="1" x14ac:dyDescent="0.25">
      <c r="B68" s="90"/>
      <c r="C68" s="82"/>
      <c r="D68" s="83"/>
      <c r="E68" s="83"/>
      <c r="F68" s="84"/>
      <c r="G68" s="82"/>
      <c r="H68" s="82"/>
      <c r="I68" s="82"/>
      <c r="J68" s="82"/>
      <c r="K68" s="82"/>
      <c r="L68" s="84"/>
      <c r="M68" s="85"/>
      <c r="N68" s="83"/>
      <c r="O68" s="85"/>
      <c r="P68" s="85"/>
      <c r="Q68" s="85"/>
      <c r="R68" s="85"/>
      <c r="S68" s="85"/>
      <c r="T68" s="86"/>
      <c r="U68" s="87"/>
      <c r="V68" s="86"/>
      <c r="W68" s="86"/>
      <c r="X68" s="91"/>
      <c r="Y68" s="30"/>
      <c r="Z68" s="30"/>
      <c r="AA68" s="28"/>
    </row>
    <row r="69" spans="2:36" ht="22.5" customHeight="1" thickBot="1" x14ac:dyDescent="0.3">
      <c r="B69" s="106" t="s">
        <v>59</v>
      </c>
      <c r="C69" s="87"/>
      <c r="D69" s="87"/>
      <c r="E69" s="87"/>
      <c r="F69" s="87"/>
      <c r="G69" s="87"/>
      <c r="H69" s="87"/>
      <c r="I69" s="87"/>
      <c r="J69" s="87"/>
      <c r="K69" s="87"/>
      <c r="L69" s="88"/>
      <c r="M69" s="86"/>
      <c r="N69" s="89"/>
      <c r="O69" s="86"/>
      <c r="P69" s="86"/>
      <c r="Q69" s="86"/>
      <c r="R69" s="86"/>
      <c r="S69" s="86"/>
      <c r="T69" s="86"/>
      <c r="U69" s="87"/>
      <c r="V69" s="87"/>
      <c r="W69" s="87"/>
      <c r="X69" s="87"/>
      <c r="AA69" s="28"/>
    </row>
    <row r="70" spans="2:36" ht="22.5" customHeight="1" thickBot="1" x14ac:dyDescent="0.3">
      <c r="B70" s="94" t="s">
        <v>145</v>
      </c>
      <c r="C70" s="95" t="str">
        <f t="shared" ref="C70:AA70" si="37">C3</f>
        <v>Company name</v>
      </c>
      <c r="D70" s="95" t="str">
        <f t="shared" si="37"/>
        <v>Dividend Yield</v>
      </c>
      <c r="E70" s="95" t="str">
        <f t="shared" si="37"/>
        <v>Yield on Cost</v>
      </c>
      <c r="F70" s="95" t="str">
        <f t="shared" si="37"/>
        <v>Payout ($)/Share</v>
      </c>
      <c r="G70" s="95" t="str">
        <f t="shared" si="37"/>
        <v>Shares (original)</v>
      </c>
      <c r="H70" s="95" t="str">
        <f t="shared" si="37"/>
        <v>Shares (Now)</v>
      </c>
      <c r="I70" s="95" t="str">
        <f t="shared" si="37"/>
        <v>Shares/Qtr</v>
      </c>
      <c r="J70" s="95" t="str">
        <f t="shared" si="37"/>
        <v>Cost Basis/Share</v>
      </c>
      <c r="K70" s="95" t="str">
        <f t="shared" si="37"/>
        <v>Price/Share (now)</v>
      </c>
      <c r="L70" s="95" t="str">
        <f t="shared" si="37"/>
        <v>Cost Basis</v>
      </c>
      <c r="M70" s="95" t="str">
        <f t="shared" si="37"/>
        <v>Value</v>
      </c>
      <c r="N70" s="96" t="str">
        <f t="shared" si="37"/>
        <v>Return Now</v>
      </c>
      <c r="O70" s="149" t="str">
        <f t="shared" si="37"/>
        <v>Forward Annual Payout</v>
      </c>
      <c r="P70" s="117"/>
      <c r="Q70" s="117"/>
      <c r="R70" s="117"/>
      <c r="S70" s="117"/>
      <c r="T70" s="78" t="str">
        <f t="shared" si="37"/>
        <v>Investment (35 years)</v>
      </c>
      <c r="U70" s="17" t="str">
        <f t="shared" si="37"/>
        <v>Shares (35 years)</v>
      </c>
      <c r="V70" s="17" t="str">
        <f t="shared" si="37"/>
        <v>Annual Yield (now)</v>
      </c>
      <c r="W70" s="17" t="str">
        <f t="shared" si="37"/>
        <v>Annual Yield (35 years)</v>
      </c>
      <c r="X70" s="17" t="str">
        <f t="shared" si="37"/>
        <v>Dividend/Investment Now ($/$)</v>
      </c>
      <c r="Y70" s="17" t="str">
        <f t="shared" si="37"/>
        <v>Dividend/Investment Future ($/$)</v>
      </c>
      <c r="Z70" s="17" t="str">
        <f t="shared" si="37"/>
        <v>Outstanding Shares</v>
      </c>
      <c r="AA70" s="17" t="str">
        <f t="shared" si="37"/>
        <v>Share of Company</v>
      </c>
    </row>
    <row r="71" spans="2:36" ht="22.5" customHeight="1" x14ac:dyDescent="0.25">
      <c r="B71" s="212" t="s">
        <v>112</v>
      </c>
      <c r="C71" s="217" t="s">
        <v>163</v>
      </c>
      <c r="D71" s="218">
        <f t="shared" ref="D71:D81" si="38">F71/K71</f>
        <v>3.5364000552562509E-2</v>
      </c>
      <c r="E71" s="219">
        <f t="shared" ref="E71:E81" si="39">(H71*F71)/L71</f>
        <v>4.1010767448275864E-2</v>
      </c>
      <c r="F71" s="223">
        <f>0.64*4</f>
        <v>2.56</v>
      </c>
      <c r="G71" s="220">
        <f>0.65823+0.803879+0.762286+0.719712+0.715028+0.752511</f>
        <v>4.4116460000000002</v>
      </c>
      <c r="H71" s="227">
        <v>4.6457509999999997</v>
      </c>
      <c r="I71" s="222">
        <f t="shared" ref="I71:I81" si="40">(H71*F71/4)/K71</f>
        <v>4.1073085232766954E-2</v>
      </c>
      <c r="J71" s="275">
        <f>(40+50+50+50+50+50)/G71</f>
        <v>65.735102045812383</v>
      </c>
      <c r="K71" s="229">
        <v>72.39</v>
      </c>
      <c r="L71" s="228">
        <f t="shared" ref="L71:M76" si="41">J71*G71</f>
        <v>290</v>
      </c>
      <c r="M71" s="224">
        <f t="shared" si="41"/>
        <v>336.30591489</v>
      </c>
      <c r="N71" s="230">
        <f>M71/L71-1</f>
        <v>0.1596755685862068</v>
      </c>
      <c r="O71" s="225">
        <f t="shared" ref="O71:O81" si="42">H71*F71</f>
        <v>11.89312256</v>
      </c>
      <c r="P71" s="251" t="s">
        <v>267</v>
      </c>
      <c r="Q71" s="251"/>
      <c r="R71" s="251"/>
      <c r="S71" s="251"/>
      <c r="T71" s="24">
        <f t="shared" ref="T71:T80" si="43">U71*K71</f>
        <v>1013.46</v>
      </c>
      <c r="U71" s="22">
        <v>14</v>
      </c>
      <c r="V71" s="36">
        <f>F71*H71</f>
        <v>11.89312256</v>
      </c>
      <c r="W71" s="36">
        <f t="shared" ref="W71:W80" si="44">U71*F71</f>
        <v>35.840000000000003</v>
      </c>
      <c r="X71" s="16">
        <f t="shared" ref="X71:X80" si="45">V71/M71</f>
        <v>3.5364000552562509E-2</v>
      </c>
      <c r="Y71" s="16">
        <f t="shared" ref="Y71:Y94" si="46">W71/M71</f>
        <v>0.10656963916832288</v>
      </c>
      <c r="Z71" s="32">
        <v>1590000000</v>
      </c>
      <c r="AA71" s="23">
        <f t="shared" ref="AA71:AA81" si="47">(H71/Z71)</f>
        <v>2.9218559748427671E-9</v>
      </c>
    </row>
    <row r="72" spans="2:36" ht="22.5" customHeight="1" x14ac:dyDescent="0.25">
      <c r="B72" s="213" t="s">
        <v>60</v>
      </c>
      <c r="C72" s="17" t="s">
        <v>131</v>
      </c>
      <c r="D72" s="18">
        <f t="shared" si="38"/>
        <v>3.2369328734412312E-2</v>
      </c>
      <c r="E72" s="31">
        <f t="shared" si="39"/>
        <v>5.9044622656787088E-2</v>
      </c>
      <c r="F72" s="52">
        <f>0.61*4</f>
        <v>2.44</v>
      </c>
      <c r="G72" s="48">
        <f>0.977921+1.191976+1.185955+1.150411+1.139882+1.119009+1.137423+1.113629+1.069927+1.04942+0.988903+0.817161+0.784661+0.769671</f>
        <v>14.495949000000001</v>
      </c>
      <c r="H72" s="19">
        <v>15.839204000000001</v>
      </c>
      <c r="I72" s="50">
        <f t="shared" si="40"/>
        <v>0.12817610029185461</v>
      </c>
      <c r="J72" s="276">
        <f>(37.47+47.46+47.46+47.46+47.47+47.47+47.47+47.47+47.47+47.47+47.47+47.47+47.47+47.47)/G72</f>
        <v>45.153994402160222</v>
      </c>
      <c r="K72" s="20">
        <v>75.38</v>
      </c>
      <c r="L72" s="48">
        <f t="shared" si="41"/>
        <v>654.55000000000018</v>
      </c>
      <c r="M72" s="26">
        <f t="shared" si="41"/>
        <v>1193.9591975199999</v>
      </c>
      <c r="N72" s="18">
        <f t="shared" ref="N72:N82" si="48">M72/L72-1</f>
        <v>0.82409166224123376</v>
      </c>
      <c r="O72" s="100">
        <f t="shared" si="42"/>
        <v>38.647657760000001</v>
      </c>
      <c r="P72" s="251" t="s">
        <v>264</v>
      </c>
      <c r="Q72" s="251"/>
      <c r="R72" s="251"/>
      <c r="S72" s="251"/>
      <c r="T72" s="24">
        <f t="shared" si="43"/>
        <v>16282.079999999998</v>
      </c>
      <c r="U72" s="22">
        <v>216</v>
      </c>
      <c r="V72" s="36">
        <f>F72*H72</f>
        <v>38.647657760000001</v>
      </c>
      <c r="W72" s="36">
        <f t="shared" si="44"/>
        <v>527.04</v>
      </c>
      <c r="X72" s="16">
        <f t="shared" si="45"/>
        <v>3.2369328734412318E-2</v>
      </c>
      <c r="Y72" s="16">
        <f t="shared" si="46"/>
        <v>0.44142211986366608</v>
      </c>
      <c r="Z72" s="32">
        <v>1940000000</v>
      </c>
      <c r="AA72" s="23">
        <f t="shared" si="47"/>
        <v>8.1645381443298968E-9</v>
      </c>
    </row>
    <row r="73" spans="2:36" ht="22.5" customHeight="1" x14ac:dyDescent="0.25">
      <c r="B73" s="213" t="s">
        <v>64</v>
      </c>
      <c r="C73" s="17" t="s">
        <v>130</v>
      </c>
      <c r="D73" s="18">
        <f t="shared" si="38"/>
        <v>2.2814549791293978E-2</v>
      </c>
      <c r="E73" s="31">
        <f t="shared" si="39"/>
        <v>3.1603382362666667E-2</v>
      </c>
      <c r="F73" s="52">
        <f>0.1913*4</f>
        <v>0.76519999999999999</v>
      </c>
      <c r="G73" s="48">
        <f>1.996689+1.977567+2.126051+2.015234+2.111353+1.894705+1.888464+1.898567+1.818121+1.894549+1.881036+1.692718</f>
        <v>23.195053999999999</v>
      </c>
      <c r="H73" s="19">
        <v>24.780487999999998</v>
      </c>
      <c r="I73" s="50">
        <f t="shared" si="40"/>
        <v>0.14133891933214074</v>
      </c>
      <c r="J73" s="276">
        <f>(50+50+50+50+50+50+50+50+50+50+50+50)/G73</f>
        <v>25.867583666759302</v>
      </c>
      <c r="K73" s="20">
        <v>33.54</v>
      </c>
      <c r="L73" s="48">
        <f t="shared" si="41"/>
        <v>600</v>
      </c>
      <c r="M73" s="26">
        <f t="shared" si="41"/>
        <v>831.13756751999995</v>
      </c>
      <c r="N73" s="18">
        <f t="shared" si="48"/>
        <v>0.38522927919999983</v>
      </c>
      <c r="O73" s="100">
        <f t="shared" si="42"/>
        <v>18.9620294176</v>
      </c>
      <c r="P73" s="251" t="s">
        <v>272</v>
      </c>
      <c r="Q73" s="251"/>
      <c r="R73" s="251"/>
      <c r="S73" s="251"/>
      <c r="T73" s="24">
        <f t="shared" si="43"/>
        <v>4058.3399999999997</v>
      </c>
      <c r="U73" s="22">
        <v>121</v>
      </c>
      <c r="V73" s="36">
        <f>F73*H73</f>
        <v>18.9620294176</v>
      </c>
      <c r="W73" s="36">
        <f t="shared" si="44"/>
        <v>92.589200000000005</v>
      </c>
      <c r="X73" s="16">
        <f t="shared" si="45"/>
        <v>2.2814549791293978E-2</v>
      </c>
      <c r="Y73" s="16">
        <f t="shared" si="46"/>
        <v>0.11140057147972919</v>
      </c>
      <c r="Z73" s="32">
        <v>177180000</v>
      </c>
      <c r="AA73" s="23">
        <f t="shared" si="47"/>
        <v>1.39860526018738E-7</v>
      </c>
      <c r="AJ73" s="29"/>
    </row>
    <row r="74" spans="2:36" ht="22.5" customHeight="1" x14ac:dyDescent="0.25">
      <c r="B74" s="213" t="s">
        <v>113</v>
      </c>
      <c r="C74" s="17" t="s">
        <v>164</v>
      </c>
      <c r="D74" s="18">
        <f t="shared" si="38"/>
        <v>2.5319218596529521E-2</v>
      </c>
      <c r="E74" s="31">
        <f t="shared" si="39"/>
        <v>2.8311166222222219E-2</v>
      </c>
      <c r="F74" s="52">
        <f>0.58*4</f>
        <v>2.3199999999999998</v>
      </c>
      <c r="G74" s="48">
        <f>0.451642+0.641856+0.644595+0.66789+0.630994+0.65141+0.553342+0.523615+1.091822+1.101033</f>
        <v>6.9581990000000014</v>
      </c>
      <c r="H74" s="19">
        <v>7.1388069999999999</v>
      </c>
      <c r="I74" s="50">
        <f t="shared" si="40"/>
        <v>4.5187253737858771E-2</v>
      </c>
      <c r="J74" s="276">
        <f>(35+50+50+50+50+50+50+50+100+100)/G74</f>
        <v>84.073479358667356</v>
      </c>
      <c r="K74" s="20">
        <v>91.63</v>
      </c>
      <c r="L74" s="48">
        <f t="shared" si="41"/>
        <v>585</v>
      </c>
      <c r="M74" s="26">
        <f t="shared" si="41"/>
        <v>654.12888540999995</v>
      </c>
      <c r="N74" s="18">
        <f t="shared" si="48"/>
        <v>0.11816903488888886</v>
      </c>
      <c r="O74" s="100">
        <f t="shared" si="42"/>
        <v>16.562032239999997</v>
      </c>
      <c r="P74" s="251" t="s">
        <v>264</v>
      </c>
      <c r="Q74" s="251"/>
      <c r="R74" s="251"/>
      <c r="S74" s="251"/>
      <c r="T74" s="24">
        <f t="shared" si="43"/>
        <v>1007.93</v>
      </c>
      <c r="U74" s="22">
        <v>11</v>
      </c>
      <c r="V74" s="36">
        <f>F74*H74</f>
        <v>16.562032239999997</v>
      </c>
      <c r="W74" s="36">
        <f t="shared" si="44"/>
        <v>25.52</v>
      </c>
      <c r="X74" s="16">
        <f t="shared" si="45"/>
        <v>2.5319218596529518E-2</v>
      </c>
      <c r="Y74" s="16">
        <f t="shared" si="46"/>
        <v>3.9013718197147614E-2</v>
      </c>
      <c r="Z74" s="32">
        <v>183800000</v>
      </c>
      <c r="AA74" s="23">
        <f t="shared" si="47"/>
        <v>3.8840081610446135E-8</v>
      </c>
      <c r="AJ74" s="24"/>
    </row>
    <row r="75" spans="2:36" ht="22.5" customHeight="1" x14ac:dyDescent="0.25">
      <c r="B75" s="213" t="s">
        <v>127</v>
      </c>
      <c r="C75" s="17" t="s">
        <v>165</v>
      </c>
      <c r="D75" s="18">
        <f t="shared" si="38"/>
        <v>3.797312291949205E-2</v>
      </c>
      <c r="E75" s="31">
        <f t="shared" si="39"/>
        <v>3.9190979462962967E-2</v>
      </c>
      <c r="F75" s="52">
        <f>0.77*4</f>
        <v>3.08</v>
      </c>
      <c r="G75" s="48">
        <f>7.18281+0.614154+0.645386+2.649926+2.007918+(100/76.61)+12.364485</f>
        <v>26.769991622373055</v>
      </c>
      <c r="H75" s="19">
        <v>27.484583000000001</v>
      </c>
      <c r="I75" s="50">
        <f t="shared" si="40"/>
        <v>0.26091886216249538</v>
      </c>
      <c r="J75" s="276">
        <f>(610+50+50+200+150+100+1000)/G75</f>
        <v>80.687361821763787</v>
      </c>
      <c r="K75" s="20">
        <v>81.11</v>
      </c>
      <c r="L75" s="48">
        <f t="shared" si="41"/>
        <v>2160</v>
      </c>
      <c r="M75" s="26">
        <f t="shared" si="41"/>
        <v>2229.27452713</v>
      </c>
      <c r="N75" s="18">
        <f t="shared" si="48"/>
        <v>3.2071540337963E-2</v>
      </c>
      <c r="O75" s="100">
        <f t="shared" si="42"/>
        <v>84.652515640000004</v>
      </c>
      <c r="P75" s="251" t="s">
        <v>265</v>
      </c>
      <c r="Q75" s="251"/>
      <c r="R75" s="251"/>
      <c r="S75" s="251"/>
      <c r="T75" s="24">
        <f t="shared" si="43"/>
        <v>12328.72</v>
      </c>
      <c r="U75" s="22">
        <v>152</v>
      </c>
      <c r="V75" s="36">
        <f>F75*H75</f>
        <v>84.652515640000004</v>
      </c>
      <c r="W75" s="36">
        <f t="shared" si="44"/>
        <v>468.16</v>
      </c>
      <c r="X75" s="16">
        <f t="shared" si="45"/>
        <v>3.797312291949205E-2</v>
      </c>
      <c r="Y75" s="16">
        <f t="shared" si="46"/>
        <v>0.21000553960606902</v>
      </c>
      <c r="Z75" s="32">
        <v>4240000000</v>
      </c>
      <c r="AA75" s="23">
        <f t="shared" si="47"/>
        <v>6.4822129716981136E-9</v>
      </c>
    </row>
    <row r="76" spans="2:36" ht="22.5" customHeight="1" x14ac:dyDescent="0.25">
      <c r="B76" s="213" t="s">
        <v>85</v>
      </c>
      <c r="C76" s="17" t="s">
        <v>166</v>
      </c>
      <c r="D76" s="18">
        <f t="shared" si="38"/>
        <v>3.9032006245121001E-2</v>
      </c>
      <c r="E76" s="31">
        <f t="shared" si="39"/>
        <v>4.0755186721991694E-2</v>
      </c>
      <c r="F76" s="20">
        <v>6</v>
      </c>
      <c r="G76" s="48">
        <f>0.202+0.258+0.271+0.304+0.254+0.322+0.323+0.302+0.31+0.298+0.259+0.785+0.687</f>
        <v>4.5750000000000002</v>
      </c>
      <c r="H76" s="19">
        <v>4.9109999999999996</v>
      </c>
      <c r="I76" s="50">
        <f t="shared" si="40"/>
        <v>4.7921545667447302E-2</v>
      </c>
      <c r="J76" s="276">
        <f>(39+49+49+49+49+49+49+49+49+49+45+99+99)/G76</f>
        <v>158.03278688524588</v>
      </c>
      <c r="K76" s="20">
        <v>153.72</v>
      </c>
      <c r="L76" s="48">
        <f t="shared" si="41"/>
        <v>723</v>
      </c>
      <c r="M76" s="26">
        <f t="shared" si="41"/>
        <v>754.91891999999996</v>
      </c>
      <c r="N76" s="18">
        <f t="shared" si="48"/>
        <v>4.4147883817427402E-2</v>
      </c>
      <c r="O76" s="100">
        <f t="shared" si="42"/>
        <v>29.465999999999998</v>
      </c>
      <c r="P76" s="251" t="s">
        <v>269</v>
      </c>
      <c r="Q76" s="251"/>
      <c r="R76" s="251"/>
      <c r="S76" s="251"/>
      <c r="T76" s="24">
        <f t="shared" si="43"/>
        <v>4304.16</v>
      </c>
      <c r="U76" s="22">
        <v>28</v>
      </c>
      <c r="V76" s="36">
        <f>F76*G76</f>
        <v>27.450000000000003</v>
      </c>
      <c r="W76" s="36">
        <f t="shared" si="44"/>
        <v>168</v>
      </c>
      <c r="X76" s="16">
        <f t="shared" si="45"/>
        <v>3.6361520784245288E-2</v>
      </c>
      <c r="Y76" s="16">
        <f t="shared" si="46"/>
        <v>0.2225404550729766</v>
      </c>
      <c r="Z76" s="32">
        <v>945870000</v>
      </c>
      <c r="AA76" s="23">
        <f t="shared" si="47"/>
        <v>5.1920454185035992E-9</v>
      </c>
    </row>
    <row r="77" spans="2:36" ht="22.5" hidden="1" customHeight="1" x14ac:dyDescent="0.25">
      <c r="B77" s="213" t="s">
        <v>84</v>
      </c>
      <c r="C77" s="17" t="s">
        <v>167</v>
      </c>
      <c r="D77" s="18">
        <f t="shared" si="38"/>
        <v>2.8105810108644307E-2</v>
      </c>
      <c r="E77" s="31" t="e">
        <f t="shared" si="39"/>
        <v>#DIV/0!</v>
      </c>
      <c r="F77" s="52">
        <f>0.8925*4</f>
        <v>3.57</v>
      </c>
      <c r="G77" s="48"/>
      <c r="H77" s="19"/>
      <c r="I77" s="50">
        <f t="shared" si="40"/>
        <v>0</v>
      </c>
      <c r="J77" s="276" t="e">
        <f>(43.5+48.5+48.5+48.5+48.5+48.5+48.5+48.5+48.5+48.5)/G77</f>
        <v>#DIV/0!</v>
      </c>
      <c r="K77" s="20">
        <v>127.02</v>
      </c>
      <c r="L77" s="48">
        <v>0</v>
      </c>
      <c r="M77" s="26">
        <f>K77*H77</f>
        <v>0</v>
      </c>
      <c r="N77" s="18" t="e">
        <f t="shared" si="48"/>
        <v>#DIV/0!</v>
      </c>
      <c r="O77" s="100">
        <f t="shared" si="42"/>
        <v>0</v>
      </c>
      <c r="P77" s="251"/>
      <c r="Q77" s="251"/>
      <c r="R77" s="251"/>
      <c r="S77" s="251"/>
      <c r="T77" s="24">
        <f t="shared" si="43"/>
        <v>7931.1287999999995</v>
      </c>
      <c r="U77" s="22">
        <v>62.44</v>
      </c>
      <c r="V77" s="36">
        <f>F77*G77</f>
        <v>0</v>
      </c>
      <c r="W77" s="36">
        <f t="shared" si="44"/>
        <v>222.91079999999999</v>
      </c>
      <c r="X77" s="16" t="e">
        <f t="shared" si="45"/>
        <v>#DIV/0!</v>
      </c>
      <c r="Y77" s="16" t="e">
        <f t="shared" si="46"/>
        <v>#DIV/0!</v>
      </c>
      <c r="Z77" s="32">
        <v>981900000</v>
      </c>
      <c r="AA77" s="23">
        <f t="shared" si="47"/>
        <v>0</v>
      </c>
    </row>
    <row r="78" spans="2:36" ht="22.5" customHeight="1" x14ac:dyDescent="0.25">
      <c r="B78" s="213" t="s">
        <v>98</v>
      </c>
      <c r="C78" s="17" t="s">
        <v>168</v>
      </c>
      <c r="D78" s="18">
        <f t="shared" si="38"/>
        <v>3.5212459793465378E-2</v>
      </c>
      <c r="E78" s="31">
        <f t="shared" si="39"/>
        <v>5.1520091045726961E-2</v>
      </c>
      <c r="F78" s="52">
        <f>1.04*4</f>
        <v>4.16</v>
      </c>
      <c r="G78" s="48">
        <f>0.454624+0.569819+0.57441+0.610082+0.560675+0.555183+0.581645+0.555144+0.564248+0.577209+0.535202+0.564453+0.531087+0.429878+0.575768+0.581308+0.569819+0.581645+1.835339+0.544281+0.518487+0.491691+5.640774</f>
        <v>19.002771000000003</v>
      </c>
      <c r="H78" s="19">
        <v>20.023109999999999</v>
      </c>
      <c r="I78" s="50">
        <f t="shared" si="40"/>
        <v>0.17626573895378364</v>
      </c>
      <c r="J78" s="276">
        <f>(37.49+47.48+47.48+47.48+47.48+47.48+47.48+47.47+47.47+47.47+47.47+47.47+47.47+37.49+47.48+47.48+47.48+47.48+144.94+47.47+47.47+47.47+494.82)/G78</f>
        <v>85.080749539106691</v>
      </c>
      <c r="K78" s="20">
        <v>118.14</v>
      </c>
      <c r="L78" s="48">
        <f>J78*G78</f>
        <v>1616.7700000000002</v>
      </c>
      <c r="M78" s="26">
        <f>K78*H78</f>
        <v>2365.5302154000001</v>
      </c>
      <c r="N78" s="18">
        <f t="shared" si="48"/>
        <v>0.46312104714956348</v>
      </c>
      <c r="O78" s="100">
        <f t="shared" si="42"/>
        <v>83.296137599999994</v>
      </c>
      <c r="P78" s="251" t="s">
        <v>264</v>
      </c>
      <c r="Q78" s="251"/>
      <c r="R78" s="251"/>
      <c r="S78" s="251"/>
      <c r="T78" s="24">
        <f t="shared" si="43"/>
        <v>19729.38</v>
      </c>
      <c r="U78" s="22">
        <v>167</v>
      </c>
      <c r="V78" s="36">
        <f>F78*G78</f>
        <v>79.051527360000009</v>
      </c>
      <c r="W78" s="36">
        <f t="shared" si="44"/>
        <v>694.72</v>
      </c>
      <c r="X78" s="16">
        <f t="shared" si="45"/>
        <v>3.3418100874535971E-2</v>
      </c>
      <c r="Y78" s="16">
        <f t="shared" si="46"/>
        <v>0.29368468662004649</v>
      </c>
      <c r="Z78" s="32">
        <v>1550000000</v>
      </c>
      <c r="AA78" s="23">
        <f t="shared" si="47"/>
        <v>1.2918135483870968E-8</v>
      </c>
    </row>
    <row r="79" spans="2:36" ht="22.5" customHeight="1" x14ac:dyDescent="0.25">
      <c r="B79" s="213" t="s">
        <v>61</v>
      </c>
      <c r="C79" s="17" t="s">
        <v>169</v>
      </c>
      <c r="D79" s="18">
        <f t="shared" si="38"/>
        <v>2.3367898349642181E-2</v>
      </c>
      <c r="E79" s="31">
        <f t="shared" si="39"/>
        <v>3.8946599284059809E-2</v>
      </c>
      <c r="F79" s="52">
        <f>0.8*4</f>
        <v>3.2</v>
      </c>
      <c r="G79" s="48">
        <f>2.614635+0.56697+0.544023+0.54997</f>
        <v>4.2755979999999996</v>
      </c>
      <c r="H79" s="19">
        <v>4.6239350000000004</v>
      </c>
      <c r="I79" s="50">
        <f t="shared" si="40"/>
        <v>2.7012910763838181E-2</v>
      </c>
      <c r="J79" s="276">
        <f>(229.92+50+50+50)/G79</f>
        <v>88.857745746910723</v>
      </c>
      <c r="K79" s="20">
        <v>136.94</v>
      </c>
      <c r="L79" s="48">
        <f>J79*G79</f>
        <v>379.91999999999996</v>
      </c>
      <c r="M79" s="26">
        <f>K79*H79</f>
        <v>633.20165889999998</v>
      </c>
      <c r="N79" s="18">
        <f t="shared" si="48"/>
        <v>0.6666710331122343</v>
      </c>
      <c r="O79" s="100">
        <f t="shared" si="42"/>
        <v>14.796592000000002</v>
      </c>
      <c r="P79" s="251" t="s">
        <v>264</v>
      </c>
      <c r="Q79" s="251"/>
      <c r="R79" s="251"/>
      <c r="S79" s="251"/>
      <c r="T79" s="24">
        <f t="shared" si="43"/>
        <v>4327.3040000000001</v>
      </c>
      <c r="U79" s="22">
        <v>31.6</v>
      </c>
      <c r="V79" s="36">
        <f>F79*H79</f>
        <v>14.796592000000002</v>
      </c>
      <c r="W79" s="36">
        <f t="shared" si="44"/>
        <v>101.12</v>
      </c>
      <c r="X79" s="16">
        <f t="shared" si="45"/>
        <v>2.3367898349642185E-2</v>
      </c>
      <c r="Y79" s="16">
        <f t="shared" si="46"/>
        <v>0.15969635988583164</v>
      </c>
      <c r="Z79" s="32">
        <v>128180000</v>
      </c>
      <c r="AA79" s="23">
        <f t="shared" si="47"/>
        <v>3.6073763457637697E-8</v>
      </c>
    </row>
    <row r="80" spans="2:36" ht="22.5" customHeight="1" x14ac:dyDescent="0.25">
      <c r="B80" s="213" t="s">
        <v>62</v>
      </c>
      <c r="C80" s="17" t="s">
        <v>129</v>
      </c>
      <c r="D80" s="18">
        <f t="shared" si="38"/>
        <v>5.1516503122212308E-2</v>
      </c>
      <c r="E80" s="31">
        <f t="shared" si="39"/>
        <v>5.2103485909669921E-2</v>
      </c>
      <c r="F80" s="52">
        <f>0.5775*4</f>
        <v>2.31</v>
      </c>
      <c r="G80" s="48">
        <f>1.077122+1.005632+1.011327+1.017708+0.973141+1.06849+1.014919+1.020304+1.004975</f>
        <v>9.193617999999999</v>
      </c>
      <c r="H80" s="19">
        <v>10.092964</v>
      </c>
      <c r="I80" s="50">
        <f t="shared" si="40"/>
        <v>0.1299885528545941</v>
      </c>
      <c r="J80" s="277">
        <f>(50+50+50+50+50+50+50+50+47.47)/G80</f>
        <v>48.671806899090228</v>
      </c>
      <c r="K80" s="65">
        <v>44.84</v>
      </c>
      <c r="L80" s="48">
        <f>J80*G80</f>
        <v>447.47</v>
      </c>
      <c r="M80" s="61">
        <f>K80*H80</f>
        <v>452.56850576000005</v>
      </c>
      <c r="N80" s="67">
        <f t="shared" si="48"/>
        <v>1.1394072809350453E-2</v>
      </c>
      <c r="O80" s="100">
        <f t="shared" si="42"/>
        <v>23.314746840000002</v>
      </c>
      <c r="P80" s="251" t="s">
        <v>271</v>
      </c>
      <c r="Q80" s="251"/>
      <c r="R80" s="251"/>
      <c r="S80" s="251"/>
      <c r="T80" s="24">
        <f t="shared" si="43"/>
        <v>12913.920000000002</v>
      </c>
      <c r="U80" s="22">
        <v>288</v>
      </c>
      <c r="V80" s="36">
        <f>F80*H80</f>
        <v>23.314746840000002</v>
      </c>
      <c r="W80" s="36">
        <f t="shared" si="44"/>
        <v>665.28</v>
      </c>
      <c r="X80" s="16">
        <f t="shared" si="45"/>
        <v>5.1516503122212308E-2</v>
      </c>
      <c r="Y80" s="16">
        <f t="shared" si="46"/>
        <v>1.4700094936628272</v>
      </c>
      <c r="Z80" s="32">
        <v>4080000000</v>
      </c>
      <c r="AA80" s="23">
        <f t="shared" si="47"/>
        <v>2.4737656862745099E-9</v>
      </c>
    </row>
    <row r="81" spans="1:27" ht="22.5" customHeight="1" thickBot="1" x14ac:dyDescent="0.3">
      <c r="B81" s="101" t="s">
        <v>6</v>
      </c>
      <c r="C81" s="68" t="s">
        <v>177</v>
      </c>
      <c r="D81" s="77">
        <f t="shared" si="38"/>
        <v>2.3252633018738887E-2</v>
      </c>
      <c r="E81" s="69">
        <f t="shared" si="39"/>
        <v>3.4559906897273174E-2</v>
      </c>
      <c r="F81" s="80">
        <f>0.425*4</f>
        <v>1.7</v>
      </c>
      <c r="G81" s="143">
        <f>2.721502+2.940448</f>
        <v>5.66195</v>
      </c>
      <c r="H81" s="72">
        <f>5.807458+0.022595</f>
        <v>5.8300529999999995</v>
      </c>
      <c r="I81" s="73">
        <f t="shared" si="40"/>
        <v>3.3891020722199426E-2</v>
      </c>
      <c r="J81" s="278">
        <f>(139.64+147.14)/G81</f>
        <v>50.650394298783979</v>
      </c>
      <c r="K81" s="70">
        <v>73.11</v>
      </c>
      <c r="L81" s="226">
        <f>J81*G81</f>
        <v>286.77999999999997</v>
      </c>
      <c r="M81" s="76">
        <f>K81*H81</f>
        <v>426.23517482999995</v>
      </c>
      <c r="N81" s="109">
        <f t="shared" si="48"/>
        <v>0.48627929015273019</v>
      </c>
      <c r="O81" s="102">
        <f t="shared" si="42"/>
        <v>9.9110900999999991</v>
      </c>
      <c r="P81" s="251" t="s">
        <v>273</v>
      </c>
      <c r="Q81" s="251"/>
      <c r="R81" s="251"/>
      <c r="S81" s="251"/>
      <c r="T81" s="24"/>
      <c r="U81" s="22"/>
      <c r="V81" s="36"/>
      <c r="W81" s="36"/>
      <c r="Z81" s="32">
        <v>441800000</v>
      </c>
      <c r="AA81" s="23">
        <f t="shared" si="47"/>
        <v>1.3196136260751469E-8</v>
      </c>
    </row>
    <row r="82" spans="1:27" ht="22.5" customHeight="1" thickBot="1" x14ac:dyDescent="0.3">
      <c r="B82" s="107" t="s">
        <v>65</v>
      </c>
      <c r="C82" s="108"/>
      <c r="D82" s="109">
        <f>O82/M82</f>
        <v>3.3562132121234906E-2</v>
      </c>
      <c r="E82" s="109">
        <f>O82/L82</f>
        <v>4.2810402564941646E-2</v>
      </c>
      <c r="F82" s="110"/>
      <c r="G82" s="108"/>
      <c r="H82" s="108"/>
      <c r="I82" s="108"/>
      <c r="J82" s="108"/>
      <c r="K82" s="112"/>
      <c r="L82" s="111">
        <f>SUM(L71:L81)</f>
        <v>7743.4900000000007</v>
      </c>
      <c r="M82" s="112">
        <f>SUM(M71:M81)</f>
        <v>9877.260567360001</v>
      </c>
      <c r="N82" s="109">
        <f t="shared" si="48"/>
        <v>0.27555670212785199</v>
      </c>
      <c r="O82" s="113">
        <f>SUM(O71:O81)</f>
        <v>331.5019241576</v>
      </c>
      <c r="P82" s="251"/>
      <c r="Q82" s="251"/>
      <c r="R82" s="251"/>
      <c r="S82" s="251"/>
      <c r="T82" s="24">
        <f>SUM(T71:T80)</f>
        <v>83896.4228</v>
      </c>
      <c r="V82" s="36">
        <f>SUM(V72:V80)</f>
        <v>303.43710125759998</v>
      </c>
      <c r="W82" s="36">
        <f>SUM(W72:W80)</f>
        <v>2965.3399999999992</v>
      </c>
      <c r="X82" s="16">
        <f>V82/M82</f>
        <v>3.0720775177312427E-2</v>
      </c>
      <c r="Y82" s="16">
        <f t="shared" si="46"/>
        <v>0.30021886936942244</v>
      </c>
      <c r="AA82" s="23"/>
    </row>
    <row r="83" spans="1:27" ht="22.5" customHeight="1" x14ac:dyDescent="0.25">
      <c r="B83" s="82"/>
      <c r="C83" s="82"/>
      <c r="D83" s="83"/>
      <c r="E83" s="83"/>
      <c r="F83" s="160"/>
      <c r="G83" s="82"/>
      <c r="H83" s="82"/>
      <c r="I83" s="84"/>
      <c r="J83" s="82"/>
      <c r="K83" s="85"/>
      <c r="L83" s="84"/>
      <c r="M83" s="85"/>
      <c r="N83" s="83"/>
      <c r="O83" s="85"/>
      <c r="P83" s="85"/>
      <c r="Q83" s="85"/>
      <c r="R83" s="85"/>
      <c r="S83" s="85"/>
      <c r="T83" s="86"/>
      <c r="U83" s="87"/>
      <c r="V83" s="88"/>
      <c r="W83" s="88"/>
      <c r="X83" s="87"/>
      <c r="AA83" s="23"/>
    </row>
    <row r="84" spans="1:27" ht="22.5" customHeight="1" thickBot="1" x14ac:dyDescent="0.3">
      <c r="B84" s="104" t="s">
        <v>126</v>
      </c>
      <c r="C84" s="87"/>
      <c r="D84" s="89"/>
      <c r="E84" s="89"/>
      <c r="F84" s="88"/>
      <c r="G84" s="87"/>
      <c r="H84" s="87"/>
      <c r="I84" s="87"/>
      <c r="J84" s="87"/>
      <c r="K84" s="86"/>
      <c r="L84" s="88"/>
      <c r="M84" s="86"/>
      <c r="N84" s="89"/>
      <c r="O84" s="86"/>
      <c r="P84" s="86"/>
      <c r="Q84" s="86"/>
      <c r="R84" s="86"/>
      <c r="S84" s="86"/>
      <c r="T84" s="86"/>
      <c r="U84" s="87"/>
      <c r="V84" s="88"/>
      <c r="W84" s="88"/>
      <c r="X84" s="87"/>
      <c r="AA84" s="23"/>
    </row>
    <row r="85" spans="1:27" ht="22.5" customHeight="1" x14ac:dyDescent="0.25">
      <c r="B85" s="114" t="s">
        <v>145</v>
      </c>
      <c r="C85" s="115" t="str">
        <f t="shared" ref="C85:AA85" si="49">C3</f>
        <v>Company name</v>
      </c>
      <c r="D85" s="115" t="str">
        <f t="shared" si="49"/>
        <v>Dividend Yield</v>
      </c>
      <c r="E85" s="115" t="str">
        <f t="shared" si="49"/>
        <v>Yield on Cost</v>
      </c>
      <c r="F85" s="115" t="str">
        <f t="shared" si="49"/>
        <v>Payout ($)/Share</v>
      </c>
      <c r="G85" s="115" t="str">
        <f t="shared" si="49"/>
        <v>Shares (original)</v>
      </c>
      <c r="H85" s="115" t="str">
        <f t="shared" si="49"/>
        <v>Shares (Now)</v>
      </c>
      <c r="I85" s="115" t="str">
        <f t="shared" si="49"/>
        <v>Shares/Qtr</v>
      </c>
      <c r="J85" s="115" t="str">
        <f t="shared" si="49"/>
        <v>Cost Basis/Share</v>
      </c>
      <c r="K85" s="115" t="str">
        <f t="shared" si="49"/>
        <v>Price/Share (now)</v>
      </c>
      <c r="L85" s="115" t="str">
        <f t="shared" si="49"/>
        <v>Cost Basis</v>
      </c>
      <c r="M85" s="115" t="str">
        <f t="shared" si="49"/>
        <v>Value</v>
      </c>
      <c r="N85" s="115" t="str">
        <f t="shared" si="49"/>
        <v>Return Now</v>
      </c>
      <c r="O85" s="116" t="str">
        <f t="shared" si="49"/>
        <v>Forward Annual Payout</v>
      </c>
      <c r="P85" s="117"/>
      <c r="Q85" s="117"/>
      <c r="R85" s="117"/>
      <c r="S85" s="117"/>
      <c r="T85" s="78" t="str">
        <f t="shared" si="49"/>
        <v>Investment (35 years)</v>
      </c>
      <c r="U85" s="17" t="str">
        <f t="shared" si="49"/>
        <v>Shares (35 years)</v>
      </c>
      <c r="V85" s="17" t="str">
        <f t="shared" si="49"/>
        <v>Annual Yield (now)</v>
      </c>
      <c r="W85" s="17" t="str">
        <f t="shared" si="49"/>
        <v>Annual Yield (35 years)</v>
      </c>
      <c r="X85" s="17" t="str">
        <f t="shared" si="49"/>
        <v>Dividend/Investment Now ($/$)</v>
      </c>
      <c r="Y85" s="17" t="str">
        <f t="shared" si="49"/>
        <v>Dividend/Investment Future ($/$)</v>
      </c>
      <c r="Z85" s="17" t="str">
        <f t="shared" si="49"/>
        <v>Outstanding Shares</v>
      </c>
      <c r="AA85" s="17" t="str">
        <f t="shared" si="49"/>
        <v>Share of Company</v>
      </c>
    </row>
    <row r="86" spans="1:27" ht="22.5" customHeight="1" x14ac:dyDescent="0.25">
      <c r="B86" s="99" t="s">
        <v>178</v>
      </c>
      <c r="C86" s="17" t="s">
        <v>179</v>
      </c>
      <c r="D86" s="18">
        <f>F86/K86</f>
        <v>3.4146341463414637E-2</v>
      </c>
      <c r="E86" s="18">
        <f>F86/J86</f>
        <v>3.3652632717570276E-2</v>
      </c>
      <c r="F86" s="20">
        <f>0.49*4</f>
        <v>1.96</v>
      </c>
      <c r="G86" s="17">
        <f>0.859+0.89</f>
        <v>1.7490000000000001</v>
      </c>
      <c r="H86" s="19">
        <v>1.8149999999999999</v>
      </c>
      <c r="I86" s="50">
        <f>(H86*F86/4)/K86</f>
        <v>1.549390243902439E-2</v>
      </c>
      <c r="J86" s="26">
        <v>58.242100000000001</v>
      </c>
      <c r="K86" s="154">
        <v>57.4</v>
      </c>
      <c r="L86" s="17">
        <f>56.1781*0.89+58.238*0.859</f>
        <v>100.02495099999999</v>
      </c>
      <c r="M86" s="26">
        <f>K86*H86</f>
        <v>104.181</v>
      </c>
      <c r="N86" s="18">
        <f>M86/L86-1</f>
        <v>4.1550122828853064E-2</v>
      </c>
      <c r="O86" s="100">
        <f>F86*H86</f>
        <v>3.5573999999999999</v>
      </c>
      <c r="P86" s="251" t="s">
        <v>264</v>
      </c>
      <c r="Q86" s="251"/>
      <c r="R86" s="251"/>
      <c r="S86" s="251"/>
      <c r="T86" s="117"/>
      <c r="U86" s="117"/>
      <c r="V86" s="117"/>
      <c r="W86" s="117"/>
      <c r="X86" s="117"/>
      <c r="Y86" s="117"/>
      <c r="Z86" s="117"/>
      <c r="AA86" s="117"/>
    </row>
    <row r="87" spans="1:27" ht="22.5" customHeight="1" x14ac:dyDescent="0.25">
      <c r="B87" s="99" t="s">
        <v>180</v>
      </c>
      <c r="C87" s="17" t="s">
        <v>181</v>
      </c>
      <c r="D87" s="18">
        <f>F87/K87</f>
        <v>1.8721370244971121E-2</v>
      </c>
      <c r="E87" s="18">
        <f>F87/J87</f>
        <v>2.3161608894057814E-2</v>
      </c>
      <c r="F87" s="20">
        <f>0.47*4</f>
        <v>1.88</v>
      </c>
      <c r="G87" s="17">
        <v>0.61599999999999999</v>
      </c>
      <c r="H87" s="19">
        <v>0.63100000000000001</v>
      </c>
      <c r="I87" s="50">
        <f>(H87*F87/4)/K87</f>
        <v>2.9532961561441941E-3</v>
      </c>
      <c r="J87" s="26">
        <v>81.168800000000005</v>
      </c>
      <c r="K87" s="154">
        <v>100.42</v>
      </c>
      <c r="L87" s="17">
        <f>J87*G87</f>
        <v>49.999980800000003</v>
      </c>
      <c r="M87" s="26">
        <f>K87*H87</f>
        <v>63.365020000000001</v>
      </c>
      <c r="N87" s="18">
        <f>M87/L87-1</f>
        <v>0.26730088664354046</v>
      </c>
      <c r="O87" s="100">
        <f>F87*H87</f>
        <v>1.18628</v>
      </c>
      <c r="P87" s="251" t="s">
        <v>264</v>
      </c>
      <c r="Q87" s="251"/>
      <c r="R87" s="251"/>
      <c r="S87" s="251"/>
      <c r="T87" s="117"/>
      <c r="U87" s="117"/>
      <c r="V87" s="117"/>
      <c r="W87" s="117"/>
      <c r="X87" s="117"/>
      <c r="Y87" s="117"/>
      <c r="Z87" s="117"/>
      <c r="AA87" s="117"/>
    </row>
    <row r="88" spans="1:27" ht="22.5" customHeight="1" x14ac:dyDescent="0.25">
      <c r="B88" s="133" t="s">
        <v>86</v>
      </c>
      <c r="C88" s="118" t="s">
        <v>132</v>
      </c>
      <c r="D88" s="127">
        <f>F88/K88</f>
        <v>4.5581896551724135E-2</v>
      </c>
      <c r="E88" s="127">
        <f>F88/J88</f>
        <v>5.5087290000000004E-2</v>
      </c>
      <c r="F88" s="150">
        <f>0.2115*12</f>
        <v>2.5379999999999998</v>
      </c>
      <c r="G88" s="118">
        <v>4.3410000000000002</v>
      </c>
      <c r="H88" s="122">
        <v>4.5990000000000002</v>
      </c>
      <c r="I88" s="151">
        <f>(H88*F88/4)/K88</f>
        <v>5.2407785560344824E-2</v>
      </c>
      <c r="J88" s="152">
        <f>L88/G88</f>
        <v>46.072333563694997</v>
      </c>
      <c r="K88" s="155">
        <v>55.68</v>
      </c>
      <c r="L88" s="126">
        <v>200</v>
      </c>
      <c r="M88" s="120">
        <f>K88*H88</f>
        <v>256.07231999999999</v>
      </c>
      <c r="N88" s="127">
        <f>M88/L88-1</f>
        <v>0.28036159999999999</v>
      </c>
      <c r="O88" s="134">
        <f>F88*H88</f>
        <v>11.672262</v>
      </c>
      <c r="P88" s="251" t="s">
        <v>274</v>
      </c>
      <c r="Q88" s="251"/>
      <c r="R88" s="251"/>
      <c r="S88" s="251"/>
      <c r="T88" s="24">
        <f>U88*K88</f>
        <v>779.52</v>
      </c>
      <c r="U88" s="22">
        <v>14</v>
      </c>
      <c r="V88" s="36">
        <f>F88*H88</f>
        <v>11.672262</v>
      </c>
      <c r="W88" s="36">
        <f>U88*F88</f>
        <v>35.531999999999996</v>
      </c>
      <c r="X88" s="16">
        <f>V88/M88</f>
        <v>4.5581896551724142E-2</v>
      </c>
      <c r="Y88" s="16">
        <f>W88/M88</f>
        <v>0.13875767595654226</v>
      </c>
    </row>
    <row r="89" spans="1:27" ht="22.5" customHeight="1" thickBot="1" x14ac:dyDescent="0.3">
      <c r="B89" s="144" t="s">
        <v>66</v>
      </c>
      <c r="C89" s="145" t="s">
        <v>170</v>
      </c>
      <c r="D89" s="127">
        <f>F89/K89</f>
        <v>3.0941652224147891E-2</v>
      </c>
      <c r="E89" s="127" t="e">
        <f>F89/J89</f>
        <v>#DIV/0!</v>
      </c>
      <c r="F89" s="157">
        <f>0.6695*4</f>
        <v>2.6779999999999999</v>
      </c>
      <c r="G89" s="145">
        <v>4.4256200000000003</v>
      </c>
      <c r="H89" s="146">
        <v>4.766</v>
      </c>
      <c r="I89" s="151">
        <f>(H89*F89/4)/K89</f>
        <v>3.6866978625072218E-2</v>
      </c>
      <c r="J89" s="158"/>
      <c r="K89" s="159">
        <v>86.55</v>
      </c>
      <c r="L89" s="126"/>
      <c r="M89" s="120">
        <f>K89*H89</f>
        <v>412.4973</v>
      </c>
      <c r="N89" s="148"/>
      <c r="O89" s="134">
        <f>F89*H89</f>
        <v>12.763348000000001</v>
      </c>
      <c r="P89" s="251" t="s">
        <v>264</v>
      </c>
      <c r="Q89" s="251"/>
      <c r="R89" s="251"/>
      <c r="S89" s="251"/>
      <c r="T89" s="24"/>
      <c r="U89" s="22"/>
      <c r="V89" s="36"/>
      <c r="W89" s="36"/>
    </row>
    <row r="90" spans="1:27" ht="22.5" customHeight="1" thickBot="1" x14ac:dyDescent="0.3">
      <c r="B90" s="94" t="s">
        <v>65</v>
      </c>
      <c r="C90" s="95"/>
      <c r="D90" s="128"/>
      <c r="E90" s="128"/>
      <c r="F90" s="129"/>
      <c r="G90" s="95"/>
      <c r="H90" s="95"/>
      <c r="I90" s="129"/>
      <c r="J90" s="95"/>
      <c r="K90" s="131"/>
      <c r="L90" s="130">
        <f>SUM(L86:L89)</f>
        <v>350.02493179999999</v>
      </c>
      <c r="M90" s="131">
        <f>M88+M87+M86+M89</f>
        <v>836.11563999999998</v>
      </c>
      <c r="N90" s="153">
        <f>(M90-L90)/L90</f>
        <v>1.3887316703421182</v>
      </c>
      <c r="O90" s="132">
        <f>O88+O86+O87+O89</f>
        <v>29.179290000000002</v>
      </c>
      <c r="P90" s="251"/>
      <c r="Q90" s="251"/>
      <c r="R90" s="251"/>
      <c r="S90" s="251"/>
      <c r="T90" s="24"/>
      <c r="V90" s="36"/>
      <c r="W90" s="36"/>
      <c r="AA90" s="23"/>
    </row>
    <row r="91" spans="1:27" ht="22.5" customHeight="1" x14ac:dyDescent="0.25">
      <c r="D91" s="35"/>
      <c r="E91" s="35"/>
      <c r="F91" s="36"/>
      <c r="K91" s="24"/>
      <c r="L91" s="34"/>
      <c r="M91" s="24"/>
      <c r="N91" s="35"/>
      <c r="O91" s="24"/>
      <c r="P91" s="24"/>
      <c r="Q91" s="24"/>
      <c r="R91" s="24"/>
      <c r="S91" s="24"/>
      <c r="T91" s="24"/>
      <c r="V91" s="36"/>
      <c r="W91" s="36"/>
      <c r="AA91" s="23"/>
    </row>
    <row r="92" spans="1:27" ht="22.5" customHeight="1" x14ac:dyDescent="0.25">
      <c r="B92" s="16" t="s">
        <v>105</v>
      </c>
      <c r="C92" s="16" t="str">
        <f>C85</f>
        <v>Company name</v>
      </c>
      <c r="D92" s="16" t="str">
        <f t="shared" ref="D92:AA92" si="50">D85</f>
        <v>Dividend Yield</v>
      </c>
      <c r="E92" s="16" t="str">
        <f t="shared" si="50"/>
        <v>Yield on Cost</v>
      </c>
      <c r="F92" s="16" t="str">
        <f t="shared" si="50"/>
        <v>Payout ($)/Share</v>
      </c>
      <c r="G92" s="16" t="str">
        <f t="shared" si="50"/>
        <v>Shares (original)</v>
      </c>
      <c r="H92" s="16" t="str">
        <f t="shared" si="50"/>
        <v>Shares (Now)</v>
      </c>
      <c r="I92" s="16" t="str">
        <f t="shared" si="50"/>
        <v>Shares/Qtr</v>
      </c>
      <c r="J92" s="16" t="str">
        <f t="shared" si="50"/>
        <v>Cost Basis/Share</v>
      </c>
      <c r="K92" s="16" t="str">
        <f t="shared" si="50"/>
        <v>Price/Share (now)</v>
      </c>
      <c r="L92" s="16" t="str">
        <f t="shared" si="50"/>
        <v>Cost Basis</v>
      </c>
      <c r="M92" s="16" t="str">
        <f t="shared" si="50"/>
        <v>Value</v>
      </c>
      <c r="N92" s="16" t="str">
        <f t="shared" si="50"/>
        <v>Return Now</v>
      </c>
      <c r="O92" s="16" t="str">
        <f t="shared" si="50"/>
        <v>Forward Annual Payout</v>
      </c>
      <c r="T92" s="16" t="str">
        <f t="shared" si="50"/>
        <v>Investment (35 years)</v>
      </c>
      <c r="U92" s="16" t="str">
        <f t="shared" si="50"/>
        <v>Shares (35 years)</v>
      </c>
      <c r="V92" s="16" t="str">
        <f t="shared" si="50"/>
        <v>Annual Yield (now)</v>
      </c>
      <c r="W92" s="16" t="str">
        <f t="shared" si="50"/>
        <v>Annual Yield (35 years)</v>
      </c>
      <c r="X92" s="16" t="str">
        <f t="shared" si="50"/>
        <v>Dividend/Investment Now ($/$)</v>
      </c>
      <c r="Y92" s="16" t="str">
        <f t="shared" si="50"/>
        <v>Dividend/Investment Future ($/$)</v>
      </c>
      <c r="Z92" s="16" t="str">
        <f t="shared" si="50"/>
        <v>Outstanding Shares</v>
      </c>
      <c r="AA92" s="16" t="str">
        <f t="shared" si="50"/>
        <v>Share of Company</v>
      </c>
    </row>
    <row r="93" spans="1:27" ht="22.5" customHeight="1" thickBot="1" x14ac:dyDescent="0.3">
      <c r="D93" s="35"/>
      <c r="E93" s="35"/>
      <c r="F93" s="53"/>
      <c r="H93" s="56"/>
      <c r="I93" s="58" t="e">
        <f>(H93*F93/4)/K93</f>
        <v>#DIV/0!</v>
      </c>
      <c r="J93" s="24"/>
      <c r="K93" s="57"/>
      <c r="L93" s="34">
        <f>J93*G93</f>
        <v>0</v>
      </c>
      <c r="M93" s="24">
        <f>K93*H93</f>
        <v>0</v>
      </c>
      <c r="N93" s="35" t="e">
        <f>M93/L93-1</f>
        <v>#DIV/0!</v>
      </c>
      <c r="O93" s="113">
        <f>F93*H93</f>
        <v>0</v>
      </c>
      <c r="P93" s="251" t="s">
        <v>265</v>
      </c>
      <c r="Q93" s="251"/>
      <c r="R93" s="251"/>
      <c r="S93" s="251"/>
      <c r="T93" s="24">
        <f>U93*K93</f>
        <v>0</v>
      </c>
      <c r="U93" s="16">
        <v>5100</v>
      </c>
      <c r="V93" s="36">
        <f>F93*H93</f>
        <v>0</v>
      </c>
      <c r="W93" s="36">
        <f>U93*F93</f>
        <v>0</v>
      </c>
      <c r="X93" s="16" t="e">
        <f>V93/M93</f>
        <v>#DIV/0!</v>
      </c>
      <c r="Y93" s="16" t="e">
        <f>W93/M93</f>
        <v>#DIV/0!</v>
      </c>
      <c r="Z93" s="16">
        <v>3334000000</v>
      </c>
      <c r="AA93" s="23">
        <f>(H93/Z93)</f>
        <v>0</v>
      </c>
    </row>
    <row r="94" spans="1:27" ht="22.5" customHeight="1" x14ac:dyDescent="0.25">
      <c r="L94" s="34"/>
      <c r="M94" s="24">
        <f>SUM(M93)</f>
        <v>0</v>
      </c>
      <c r="N94" s="35"/>
      <c r="O94" s="24"/>
      <c r="P94" s="24"/>
      <c r="Q94" s="24"/>
      <c r="R94" s="24"/>
      <c r="S94" s="24"/>
      <c r="T94" s="24">
        <f>T93</f>
        <v>0</v>
      </c>
      <c r="V94" s="36">
        <f>V93</f>
        <v>0</v>
      </c>
      <c r="W94" s="36">
        <f>W93</f>
        <v>0</v>
      </c>
      <c r="X94" s="16" t="e">
        <f>V94/M94</f>
        <v>#DIV/0!</v>
      </c>
      <c r="Y94" s="16" t="e">
        <f t="shared" si="46"/>
        <v>#DIV/0!</v>
      </c>
      <c r="AA94" s="28"/>
    </row>
    <row r="95" spans="1:27" ht="22.5" customHeight="1" x14ac:dyDescent="0.25">
      <c r="B95" s="16" t="s">
        <v>33</v>
      </c>
      <c r="L95" s="34"/>
      <c r="M95" s="24"/>
      <c r="N95" s="35"/>
      <c r="O95" s="35"/>
      <c r="P95" s="35"/>
      <c r="Q95" s="35"/>
      <c r="R95" s="35"/>
      <c r="S95" s="35"/>
      <c r="T95" s="24"/>
      <c r="V95" s="36"/>
    </row>
    <row r="96" spans="1:27" ht="30.75" customHeight="1" x14ac:dyDescent="0.25">
      <c r="A96" s="16" t="s">
        <v>33</v>
      </c>
      <c r="B96" s="24">
        <v>73518.44</v>
      </c>
      <c r="C96" s="24"/>
      <c r="F96" s="36">
        <f>B96*G107</f>
        <v>1540.9979653079999</v>
      </c>
      <c r="L96" s="34"/>
      <c r="M96" s="24"/>
      <c r="N96" s="24"/>
      <c r="O96" s="24"/>
      <c r="P96" s="24"/>
      <c r="Q96" s="24"/>
      <c r="R96" s="24"/>
      <c r="S96" s="24"/>
      <c r="T96" s="37" t="s">
        <v>74</v>
      </c>
      <c r="U96" s="37" t="s">
        <v>198</v>
      </c>
      <c r="V96" s="16" t="s">
        <v>70</v>
      </c>
      <c r="W96" s="16" t="s">
        <v>71</v>
      </c>
      <c r="X96" s="16" t="s">
        <v>69</v>
      </c>
    </row>
    <row r="97" spans="1:24" ht="22.5" customHeight="1" thickBot="1" x14ac:dyDescent="0.3">
      <c r="A97" s="16" t="s">
        <v>284</v>
      </c>
      <c r="B97" s="36">
        <f>B96+M67+M32+M94+M82+M90</f>
        <v>154671.29802736</v>
      </c>
      <c r="C97" s="36"/>
      <c r="F97" s="36"/>
      <c r="L97" s="34"/>
      <c r="N97" s="24"/>
      <c r="O97" s="24"/>
      <c r="P97" s="24"/>
      <c r="Q97" s="24"/>
      <c r="R97" s="24"/>
      <c r="S97" s="24"/>
      <c r="T97" s="36">
        <f>O93+O32+O82+O90</f>
        <v>2292.6179681576</v>
      </c>
      <c r="U97" s="36">
        <f>O93+O32+O82+O90+O67</f>
        <v>3158.4315770464891</v>
      </c>
      <c r="V97" s="36">
        <f>O67+O32+F96+O93+O82+O90</f>
        <v>4699.4295423544891</v>
      </c>
      <c r="W97" s="36">
        <f>W94+W67+W32+W90</f>
        <v>62573.869395960013</v>
      </c>
      <c r="X97" s="36">
        <f>W67+W32+F96+W94+W90+W82</f>
        <v>67080.207361268011</v>
      </c>
    </row>
    <row r="98" spans="1:24" ht="22.5" customHeight="1" thickBot="1" x14ac:dyDescent="0.3">
      <c r="A98" s="16" t="s">
        <v>285</v>
      </c>
      <c r="B98" s="36">
        <f>B97-B96</f>
        <v>81152.858027359995</v>
      </c>
      <c r="F98" s="16" t="s">
        <v>23</v>
      </c>
      <c r="G98" s="16" t="s">
        <v>81</v>
      </c>
      <c r="J98" s="38" t="s">
        <v>138</v>
      </c>
      <c r="K98" s="81">
        <f ca="1">NOW()</f>
        <v>43561.978524074075</v>
      </c>
      <c r="L98" s="34"/>
      <c r="M98" s="16" t="s">
        <v>42</v>
      </c>
      <c r="N98" s="35">
        <f>T32/M32</f>
        <v>19.146280535038141</v>
      </c>
      <c r="O98" s="35"/>
      <c r="P98" s="35"/>
      <c r="Q98" s="35"/>
      <c r="R98" s="35"/>
      <c r="S98" s="35"/>
      <c r="T98" s="35">
        <f>T97/(M94+M32+M82+M90)</f>
        <v>4.0453358792700768E-2</v>
      </c>
      <c r="U98" s="35">
        <f>U97/(M94+M32+M82+M90+M67)</f>
        <v>3.8919535969782482E-2</v>
      </c>
      <c r="V98" s="39">
        <f>V97/B97</f>
        <v>3.0383332927892033E-2</v>
      </c>
    </row>
    <row r="99" spans="1:24" ht="22.5" customHeight="1" x14ac:dyDescent="0.25">
      <c r="A99" s="16" t="s">
        <v>286</v>
      </c>
      <c r="B99" s="36">
        <f>B98-M94-M90-M82-M67-M32</f>
        <v>0</v>
      </c>
      <c r="D99" s="16" t="s">
        <v>75</v>
      </c>
      <c r="E99" s="16" t="s">
        <v>75</v>
      </c>
      <c r="F99" s="35">
        <v>2.87E-2</v>
      </c>
      <c r="G99" s="35">
        <v>0.18740000000000001</v>
      </c>
      <c r="H99" s="36"/>
      <c r="I99" s="36"/>
      <c r="J99" s="40" t="s">
        <v>139</v>
      </c>
      <c r="K99" s="41">
        <f>M32</f>
        <v>45959.741590000005</v>
      </c>
      <c r="L99" s="34"/>
      <c r="M99" s="16" t="s">
        <v>35</v>
      </c>
      <c r="N99" s="35">
        <f>((T32/M32))^(1/35)-1</f>
        <v>8.800523091903556E-2</v>
      </c>
      <c r="O99" s="35"/>
      <c r="P99" s="35"/>
      <c r="Q99" s="35"/>
      <c r="R99" s="35"/>
      <c r="S99" s="35"/>
      <c r="T99" s="36"/>
      <c r="U99" s="36"/>
    </row>
    <row r="100" spans="1:24" ht="22.5" customHeight="1" x14ac:dyDescent="0.25">
      <c r="D100" s="16" t="s">
        <v>76</v>
      </c>
      <c r="E100" s="16" t="s">
        <v>76</v>
      </c>
      <c r="F100" s="35">
        <v>2.1000000000000001E-2</v>
      </c>
      <c r="G100" s="35">
        <v>0.2036</v>
      </c>
      <c r="J100" s="42" t="s">
        <v>8</v>
      </c>
      <c r="K100" s="43">
        <f>M67</f>
        <v>24479.740229999999</v>
      </c>
      <c r="L100" s="34"/>
      <c r="M100" s="16" t="s">
        <v>37</v>
      </c>
      <c r="N100" s="35">
        <f>T32/M32</f>
        <v>19.146280535038141</v>
      </c>
      <c r="O100" s="35"/>
      <c r="P100" s="35"/>
      <c r="Q100" s="35"/>
      <c r="R100" s="35"/>
      <c r="S100" s="35"/>
      <c r="U100" s="16" t="s">
        <v>72</v>
      </c>
      <c r="W100" s="36" t="s">
        <v>89</v>
      </c>
    </row>
    <row r="101" spans="1:24" ht="22.5" customHeight="1" x14ac:dyDescent="0.25">
      <c r="D101" s="16" t="s">
        <v>77</v>
      </c>
      <c r="E101" s="16" t="s">
        <v>77</v>
      </c>
      <c r="F101" s="35">
        <v>1.6E-2</v>
      </c>
      <c r="G101" s="35">
        <v>0.15090000000000001</v>
      </c>
      <c r="J101" s="42" t="s">
        <v>140</v>
      </c>
      <c r="K101" s="43">
        <f>M82</f>
        <v>9877.260567360001</v>
      </c>
      <c r="M101" s="16" t="s">
        <v>36</v>
      </c>
      <c r="N101" s="35">
        <f>((T67/M67))^(1/35)-1</f>
        <v>6.5288302045019453E-2</v>
      </c>
      <c r="O101" s="35"/>
      <c r="P101" s="35"/>
      <c r="Q101" s="35"/>
      <c r="R101" s="35"/>
      <c r="S101" s="35"/>
      <c r="W101" s="36">
        <f>T94+T67+T32+B96</f>
        <v>1177429.7789799999</v>
      </c>
    </row>
    <row r="102" spans="1:24" ht="22.5" customHeight="1" x14ac:dyDescent="0.25">
      <c r="D102" s="16" t="s">
        <v>78</v>
      </c>
      <c r="E102" s="16" t="s">
        <v>78</v>
      </c>
      <c r="F102" s="35">
        <v>1.4800000000000001E-2</v>
      </c>
      <c r="G102" s="35">
        <v>0</v>
      </c>
      <c r="J102" s="42" t="s">
        <v>136</v>
      </c>
      <c r="K102" s="43">
        <f>M93</f>
        <v>0</v>
      </c>
      <c r="M102" s="16" t="s">
        <v>38</v>
      </c>
      <c r="N102" s="29">
        <f>T67/M67</f>
        <v>9.1485134677019406</v>
      </c>
      <c r="O102" s="29"/>
      <c r="P102" s="29"/>
      <c r="Q102" s="29"/>
      <c r="R102" s="29"/>
      <c r="S102" s="29"/>
      <c r="U102" s="36"/>
      <c r="V102" s="36"/>
    </row>
    <row r="103" spans="1:24" ht="22.5" customHeight="1" x14ac:dyDescent="0.25">
      <c r="D103" s="16" t="s">
        <v>79</v>
      </c>
      <c r="E103" s="16" t="s">
        <v>79</v>
      </c>
      <c r="F103" s="35">
        <v>2.4400000000000002E-2</v>
      </c>
      <c r="G103" s="35">
        <v>5.1799999999999999E-2</v>
      </c>
      <c r="H103" s="147">
        <f>SUM(G99:G106)</f>
        <v>1.0001</v>
      </c>
      <c r="J103" s="42" t="s">
        <v>126</v>
      </c>
      <c r="K103" s="43">
        <f>M88</f>
        <v>256.07231999999999</v>
      </c>
      <c r="M103" s="16" t="s">
        <v>63</v>
      </c>
    </row>
    <row r="104" spans="1:24" ht="22.5" customHeight="1" thickBot="1" x14ac:dyDescent="0.3">
      <c r="B104" s="16" t="s">
        <v>138</v>
      </c>
      <c r="D104" s="16" t="s">
        <v>80</v>
      </c>
      <c r="E104" s="16" t="s">
        <v>80</v>
      </c>
      <c r="F104" s="35">
        <v>7.6999999999999999E-2</v>
      </c>
      <c r="G104" s="35">
        <v>0</v>
      </c>
      <c r="J104" s="44" t="s">
        <v>33</v>
      </c>
      <c r="K104" s="45">
        <f>B96</f>
        <v>73518.44</v>
      </c>
    </row>
    <row r="105" spans="1:24" ht="22.5" customHeight="1" thickBot="1" x14ac:dyDescent="0.3">
      <c r="D105" s="16" t="s">
        <v>117</v>
      </c>
      <c r="E105" s="16" t="s">
        <v>117</v>
      </c>
      <c r="F105" s="35">
        <v>1.5599999999999999E-2</v>
      </c>
      <c r="G105" s="35">
        <v>0.253</v>
      </c>
      <c r="K105" s="46">
        <f>SUM(K99:K104)</f>
        <v>154091.25470736</v>
      </c>
    </row>
    <row r="106" spans="1:24" ht="22.5" customHeight="1" x14ac:dyDescent="0.25">
      <c r="D106" s="16" t="s">
        <v>118</v>
      </c>
      <c r="E106" s="16" t="s">
        <v>118</v>
      </c>
      <c r="F106" s="35">
        <v>2.4E-2</v>
      </c>
      <c r="G106" s="35">
        <v>0.15340000000000001</v>
      </c>
    </row>
    <row r="107" spans="1:24" ht="22.5" customHeight="1" x14ac:dyDescent="0.25">
      <c r="F107" s="16" t="s">
        <v>82</v>
      </c>
      <c r="G107" s="39">
        <f>(G99*F99)+(G100*F100)+(G101*F101)+(G102*F102)+(G103*F103)+(G104*F104)+(F105*G105)+(F106*G106)</f>
        <v>2.0960699999999999E-2</v>
      </c>
    </row>
    <row r="108" spans="1:24" ht="22.5" customHeight="1" x14ac:dyDescent="0.25">
      <c r="F108" s="16" t="s">
        <v>194</v>
      </c>
      <c r="G108" s="147">
        <f>SUM(G99:G106)</f>
        <v>1.0001</v>
      </c>
    </row>
    <row r="178" spans="6:6" ht="22.5" customHeight="1" x14ac:dyDescent="0.25">
      <c r="F178" s="16" t="s">
        <v>199</v>
      </c>
    </row>
  </sheetData>
  <pageMargins left="0.7" right="0.7" top="0.75" bottom="0.75" header="0.3" footer="0.3"/>
  <pageSetup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2"/>
  <sheetViews>
    <sheetView topLeftCell="L33" zoomScale="90" zoomScaleNormal="90" workbookViewId="0">
      <selection activeCell="S77" sqref="S77"/>
    </sheetView>
  </sheetViews>
  <sheetFormatPr defaultRowHeight="15" outlineLevelRow="1" x14ac:dyDescent="0.25"/>
  <cols>
    <col min="2" max="2" width="18.7109375" bestFit="1" customWidth="1"/>
    <col min="3" max="3" width="11.140625" bestFit="1" customWidth="1"/>
    <col min="4" max="4" width="10.140625" customWidth="1"/>
    <col min="5" max="5" width="19.7109375" customWidth="1"/>
    <col min="6" max="6" width="10.42578125" bestFit="1" customWidth="1"/>
    <col min="7" max="7" width="10.85546875" customWidth="1"/>
    <col min="8" max="8" width="17.7109375" bestFit="1" customWidth="1"/>
    <col min="9" max="9" width="11" customWidth="1"/>
    <col min="10" max="10" width="11.28515625" customWidth="1"/>
    <col min="11" max="11" width="17.7109375" bestFit="1" customWidth="1"/>
    <col min="12" max="12" width="11.140625" bestFit="1" customWidth="1"/>
    <col min="13" max="13" width="11.7109375" customWidth="1"/>
    <col min="14" max="14" width="17.7109375" bestFit="1" customWidth="1"/>
    <col min="15" max="15" width="10.42578125" bestFit="1" customWidth="1"/>
    <col min="16" max="16" width="11.5703125" customWidth="1"/>
    <col min="18" max="18" width="17.7109375" bestFit="1" customWidth="1"/>
    <col min="19" max="19" width="14.140625" customWidth="1"/>
    <col min="20" max="20" width="11.7109375" customWidth="1"/>
    <col min="21" max="21" width="17.7109375" bestFit="1" customWidth="1"/>
    <col min="22" max="22" width="11" customWidth="1"/>
    <col min="23" max="23" width="12.140625" customWidth="1"/>
    <col min="24" max="24" width="11.5703125" customWidth="1"/>
    <col min="25" max="25" width="11" customWidth="1"/>
    <col min="27" max="27" width="11.42578125" customWidth="1"/>
    <col min="28" max="28" width="12.42578125" customWidth="1"/>
    <col min="29" max="30" width="19.85546875" bestFit="1" customWidth="1"/>
    <col min="31" max="31" width="11.28515625" customWidth="1"/>
    <col min="32" max="32" width="11.7109375" customWidth="1"/>
    <col min="33" max="33" width="12.140625" customWidth="1"/>
    <col min="34" max="34" width="13.140625" customWidth="1"/>
    <col min="35" max="35" width="10.28515625" customWidth="1"/>
    <col min="36" max="36" width="10.7109375" customWidth="1"/>
    <col min="37" max="37" width="10.5703125" customWidth="1"/>
    <col min="38" max="38" width="19.85546875" bestFit="1" customWidth="1"/>
    <col min="39" max="39" width="15" customWidth="1"/>
    <col min="40" max="40" width="12.7109375" customWidth="1"/>
    <col min="41" max="41" width="17" customWidth="1"/>
    <col min="43" max="43" width="11.7109375" customWidth="1"/>
    <col min="44" max="44" width="11" customWidth="1"/>
    <col min="45" max="45" width="18.42578125" customWidth="1"/>
    <col min="47" max="47" width="11.5703125" customWidth="1"/>
    <col min="48" max="48" width="11.7109375" customWidth="1"/>
    <col min="49" max="49" width="18.42578125" customWidth="1"/>
    <col min="53" max="53" width="18.42578125" customWidth="1"/>
  </cols>
  <sheetData>
    <row r="1" spans="1:23" ht="18.75" x14ac:dyDescent="0.3">
      <c r="A1" s="161">
        <v>2015</v>
      </c>
    </row>
    <row r="2" spans="1:23" ht="18.75" hidden="1" customHeight="1" outlineLevel="1" x14ac:dyDescent="0.3">
      <c r="A2" s="162"/>
      <c r="B2" s="294"/>
      <c r="C2" s="294"/>
      <c r="N2" s="135"/>
      <c r="O2" s="135"/>
    </row>
    <row r="3" spans="1:23" ht="18.75" hidden="1" customHeight="1" outlineLevel="1" x14ac:dyDescent="0.3">
      <c r="A3" s="162"/>
      <c r="B3" s="288" t="s">
        <v>141</v>
      </c>
      <c r="C3" s="288"/>
      <c r="E3" s="288" t="s">
        <v>141</v>
      </c>
      <c r="F3" s="288"/>
      <c r="H3" s="288" t="s">
        <v>141</v>
      </c>
      <c r="I3" s="288"/>
      <c r="K3" s="288" t="s">
        <v>141</v>
      </c>
      <c r="L3" s="288"/>
      <c r="N3" s="288" t="s">
        <v>141</v>
      </c>
      <c r="O3" s="288"/>
      <c r="R3" s="288" t="s">
        <v>141</v>
      </c>
      <c r="S3" s="288"/>
      <c r="U3" s="288" t="s">
        <v>141</v>
      </c>
      <c r="V3" s="288"/>
    </row>
    <row r="4" spans="1:23" ht="18.75" hidden="1" customHeight="1" outlineLevel="1" x14ac:dyDescent="0.3">
      <c r="A4" s="162"/>
      <c r="B4" s="291">
        <v>42156</v>
      </c>
      <c r="C4" s="291"/>
      <c r="E4" s="291">
        <v>42186</v>
      </c>
      <c r="F4" s="291"/>
      <c r="H4" s="291">
        <v>42217</v>
      </c>
      <c r="I4" s="291"/>
      <c r="K4" s="291">
        <v>42248</v>
      </c>
      <c r="L4" s="291"/>
      <c r="N4" s="291">
        <v>42278</v>
      </c>
      <c r="O4" s="291"/>
      <c r="R4" s="291">
        <v>42323</v>
      </c>
      <c r="S4" s="291"/>
      <c r="U4" s="291">
        <v>42353</v>
      </c>
      <c r="V4" s="291"/>
    </row>
    <row r="5" spans="1:23" ht="18.75" hidden="1" customHeight="1" outlineLevel="1" x14ac:dyDescent="0.3">
      <c r="A5" s="162"/>
      <c r="B5" s="12" t="s">
        <v>142</v>
      </c>
      <c r="C5" s="12" t="s">
        <v>90</v>
      </c>
      <c r="E5" s="12" t="s">
        <v>142</v>
      </c>
      <c r="F5" s="12" t="s">
        <v>90</v>
      </c>
      <c r="H5" s="12" t="s">
        <v>142</v>
      </c>
      <c r="I5" s="12" t="s">
        <v>90</v>
      </c>
      <c r="K5" s="12" t="s">
        <v>142</v>
      </c>
      <c r="L5" s="12" t="s">
        <v>90</v>
      </c>
      <c r="N5" s="12" t="s">
        <v>142</v>
      </c>
      <c r="O5" s="12" t="s">
        <v>90</v>
      </c>
      <c r="R5" s="12" t="s">
        <v>142</v>
      </c>
      <c r="S5" s="12" t="s">
        <v>90</v>
      </c>
      <c r="U5" s="12" t="s">
        <v>142</v>
      </c>
      <c r="V5" s="12" t="s">
        <v>90</v>
      </c>
    </row>
    <row r="6" spans="1:23" ht="18.75" hidden="1" customHeight="1" outlineLevel="1" x14ac:dyDescent="0.3">
      <c r="A6" s="162"/>
      <c r="B6" s="8" t="s">
        <v>67</v>
      </c>
      <c r="C6" s="9">
        <v>5.6</v>
      </c>
      <c r="E6" s="8" t="s">
        <v>86</v>
      </c>
      <c r="F6" s="9">
        <v>4.75</v>
      </c>
      <c r="H6" s="8" t="s">
        <v>119</v>
      </c>
      <c r="I6" s="9">
        <v>3.12</v>
      </c>
      <c r="K6" s="8" t="s">
        <v>67</v>
      </c>
      <c r="L6" s="9">
        <v>14.98</v>
      </c>
      <c r="N6" s="8" t="s">
        <v>86</v>
      </c>
      <c r="O6" s="9">
        <v>4.82</v>
      </c>
      <c r="R6" s="8" t="s">
        <v>97</v>
      </c>
      <c r="S6" s="140">
        <v>33.94</v>
      </c>
      <c r="U6" s="8" t="s">
        <v>67</v>
      </c>
      <c r="V6" s="9">
        <v>9.0299999999999994</v>
      </c>
    </row>
    <row r="7" spans="1:23" ht="18.75" hidden="1" customHeight="1" outlineLevel="1" x14ac:dyDescent="0.3">
      <c r="A7" s="162"/>
      <c r="B7" s="8" t="s">
        <v>2</v>
      </c>
      <c r="C7" s="9">
        <v>7.97</v>
      </c>
      <c r="E7" s="8" t="s">
        <v>124</v>
      </c>
      <c r="F7" s="9">
        <v>11.25</v>
      </c>
      <c r="G7" s="3">
        <f>SUM(F6:F7)</f>
        <v>16</v>
      </c>
      <c r="H7" s="8" t="s">
        <v>86</v>
      </c>
      <c r="I7" s="9">
        <v>4.7699999999999996</v>
      </c>
      <c r="K7" s="8" t="s">
        <v>4</v>
      </c>
      <c r="L7" s="9">
        <v>1.53</v>
      </c>
      <c r="N7" s="8" t="s">
        <v>124</v>
      </c>
      <c r="O7" s="9">
        <v>11.71</v>
      </c>
      <c r="P7" s="3">
        <f>SUM(O6:O7)</f>
        <v>16.53</v>
      </c>
      <c r="R7" s="8" t="s">
        <v>86</v>
      </c>
      <c r="S7" s="9">
        <v>4.84</v>
      </c>
      <c r="U7" s="8" t="s">
        <v>4</v>
      </c>
      <c r="V7" s="9">
        <v>2.91</v>
      </c>
    </row>
    <row r="8" spans="1:23" ht="18.75" hidden="1" customHeight="1" outlineLevel="1" x14ac:dyDescent="0.3">
      <c r="A8" s="162"/>
      <c r="B8" s="8" t="s">
        <v>4</v>
      </c>
      <c r="C8" s="9">
        <v>1.59</v>
      </c>
      <c r="E8" s="7"/>
      <c r="F8" s="7"/>
      <c r="H8" s="8" t="s">
        <v>124</v>
      </c>
      <c r="I8" s="9">
        <v>11.56</v>
      </c>
      <c r="K8" s="8" t="s">
        <v>2</v>
      </c>
      <c r="L8" s="9">
        <v>8.11</v>
      </c>
      <c r="N8" s="7"/>
      <c r="O8" s="7"/>
      <c r="R8" s="8" t="s">
        <v>124</v>
      </c>
      <c r="S8" s="9">
        <v>11.78</v>
      </c>
      <c r="T8" s="139">
        <f>SUM(S6:S8)</f>
        <v>50.56</v>
      </c>
      <c r="U8" s="8" t="s">
        <v>2</v>
      </c>
      <c r="V8" s="9">
        <v>8.2799999999999994</v>
      </c>
    </row>
    <row r="9" spans="1:23" ht="18.75" hidden="1" customHeight="1" outlineLevel="1" x14ac:dyDescent="0.3">
      <c r="A9" s="162"/>
      <c r="B9" s="8" t="s">
        <v>1</v>
      </c>
      <c r="C9" s="9">
        <v>10.93</v>
      </c>
      <c r="E9" s="12" t="s">
        <v>57</v>
      </c>
      <c r="F9" s="12" t="s">
        <v>90</v>
      </c>
      <c r="H9" s="8" t="s">
        <v>97</v>
      </c>
      <c r="I9" s="9">
        <v>32.130000000000003</v>
      </c>
      <c r="J9" s="3">
        <f>SUM(I6:I9)</f>
        <v>51.58</v>
      </c>
      <c r="K9" s="8" t="s">
        <v>1</v>
      </c>
      <c r="L9" s="9">
        <v>11.98</v>
      </c>
      <c r="N9" s="12" t="s">
        <v>57</v>
      </c>
      <c r="O9" s="12" t="s">
        <v>90</v>
      </c>
      <c r="R9" s="7"/>
      <c r="S9" s="7"/>
      <c r="U9" s="8" t="s">
        <v>1</v>
      </c>
      <c r="V9" s="9">
        <v>12.06</v>
      </c>
    </row>
    <row r="10" spans="1:23" ht="18.75" hidden="1" customHeight="1" outlineLevel="1" x14ac:dyDescent="0.3">
      <c r="A10" s="162"/>
      <c r="B10" s="8" t="s">
        <v>119</v>
      </c>
      <c r="C10" s="9">
        <v>1.56</v>
      </c>
      <c r="E10" s="8" t="s">
        <v>114</v>
      </c>
      <c r="F10" s="9">
        <f>1.32/2*24</f>
        <v>15.84</v>
      </c>
      <c r="H10" s="7"/>
      <c r="I10" s="7"/>
      <c r="K10" s="8" t="s">
        <v>125</v>
      </c>
      <c r="L10" s="9">
        <v>11.25</v>
      </c>
      <c r="N10" s="8" t="s">
        <v>100</v>
      </c>
      <c r="O10" s="9">
        <v>76.62</v>
      </c>
      <c r="R10" s="12" t="s">
        <v>57</v>
      </c>
      <c r="S10" s="12" t="s">
        <v>90</v>
      </c>
      <c r="U10" s="8" t="s">
        <v>125</v>
      </c>
      <c r="V10" s="9">
        <v>11.34</v>
      </c>
    </row>
    <row r="11" spans="1:23" ht="18.75" hidden="1" customHeight="1" outlineLevel="1" x14ac:dyDescent="0.3">
      <c r="A11" s="162"/>
      <c r="B11" s="8" t="s">
        <v>5</v>
      </c>
      <c r="C11" s="9">
        <v>7.65</v>
      </c>
      <c r="D11" s="3">
        <f>SUM(C6:C11)</f>
        <v>35.299999999999997</v>
      </c>
      <c r="E11" s="8" t="s">
        <v>83</v>
      </c>
      <c r="F11" s="9">
        <v>23.85</v>
      </c>
      <c r="G11" s="3">
        <f>SUM(F10:F11)</f>
        <v>39.69</v>
      </c>
      <c r="H11" s="12" t="s">
        <v>57</v>
      </c>
      <c r="I11" s="12" t="s">
        <v>90</v>
      </c>
      <c r="K11" s="8" t="s">
        <v>5</v>
      </c>
      <c r="L11" s="9">
        <v>7.7</v>
      </c>
      <c r="N11" s="8" t="s">
        <v>83</v>
      </c>
      <c r="O11" s="9">
        <v>24.05</v>
      </c>
      <c r="P11" s="3">
        <f>SUM(O10:O11)</f>
        <v>100.67</v>
      </c>
      <c r="R11" s="8" t="s">
        <v>104</v>
      </c>
      <c r="S11" s="9">
        <v>2.34</v>
      </c>
      <c r="U11" s="8" t="s">
        <v>5</v>
      </c>
      <c r="V11" s="9">
        <v>7.75</v>
      </c>
    </row>
    <row r="12" spans="1:23" ht="18.75" hidden="1" customHeight="1" outlineLevel="1" x14ac:dyDescent="0.3">
      <c r="A12" s="162"/>
      <c r="B12" s="7"/>
      <c r="C12" s="7"/>
      <c r="E12" s="7"/>
      <c r="F12" s="7"/>
      <c r="H12" s="8" t="s">
        <v>110</v>
      </c>
      <c r="I12" s="9">
        <v>2.81</v>
      </c>
      <c r="K12" s="8" t="s">
        <v>86</v>
      </c>
      <c r="L12" s="9">
        <v>4.79</v>
      </c>
      <c r="N12" s="7"/>
      <c r="O12" s="7"/>
      <c r="R12" s="8" t="s">
        <v>9</v>
      </c>
      <c r="S12" s="9">
        <v>14.6</v>
      </c>
      <c r="T12" s="3">
        <f>SUM(S11:S12)</f>
        <v>16.939999999999998</v>
      </c>
      <c r="U12" s="8" t="s">
        <v>86</v>
      </c>
      <c r="V12" s="9">
        <v>4.8600000000000003</v>
      </c>
    </row>
    <row r="13" spans="1:23" ht="18.75" hidden="1" customHeight="1" outlineLevel="1" x14ac:dyDescent="0.3">
      <c r="A13" s="162"/>
      <c r="B13" s="12" t="s">
        <v>57</v>
      </c>
      <c r="C13" s="12" t="s">
        <v>90</v>
      </c>
      <c r="E13" s="12" t="s">
        <v>58</v>
      </c>
      <c r="F13" s="12" t="s">
        <v>90</v>
      </c>
      <c r="H13" s="8" t="s">
        <v>104</v>
      </c>
      <c r="I13" s="9">
        <v>2.33</v>
      </c>
      <c r="J13" s="3">
        <f>SUM(I12:I13)</f>
        <v>5.1400000000000006</v>
      </c>
      <c r="K13" s="8" t="s">
        <v>124</v>
      </c>
      <c r="L13" s="9">
        <v>11.63</v>
      </c>
      <c r="N13" s="12" t="s">
        <v>58</v>
      </c>
      <c r="O13" s="12" t="s">
        <v>90</v>
      </c>
      <c r="R13" s="7"/>
      <c r="S13" s="7"/>
      <c r="U13" s="8" t="s">
        <v>119</v>
      </c>
      <c r="V13" s="9">
        <v>3.13</v>
      </c>
    </row>
    <row r="14" spans="1:23" ht="18.75" hidden="1" customHeight="1" outlineLevel="1" x14ac:dyDescent="0.3">
      <c r="A14" s="162"/>
      <c r="B14" s="8" t="s">
        <v>111</v>
      </c>
      <c r="C14" s="9">
        <v>2.36</v>
      </c>
      <c r="E14" s="8" t="s">
        <v>60</v>
      </c>
      <c r="F14" s="9">
        <v>5.98</v>
      </c>
      <c r="H14" s="7"/>
      <c r="I14" s="7"/>
      <c r="K14" s="7"/>
      <c r="L14" s="7"/>
      <c r="N14" s="8" t="s">
        <v>60</v>
      </c>
      <c r="O14" s="9">
        <v>7.12</v>
      </c>
      <c r="R14" s="12" t="s">
        <v>58</v>
      </c>
      <c r="S14" s="12" t="s">
        <v>90</v>
      </c>
      <c r="U14" s="8" t="s">
        <v>124</v>
      </c>
      <c r="V14" s="9">
        <v>11.85</v>
      </c>
      <c r="W14" s="3">
        <f>SUM(V6:V14)</f>
        <v>71.210000000000008</v>
      </c>
    </row>
    <row r="15" spans="1:23" ht="18.75" hidden="1" customHeight="1" outlineLevel="1" x14ac:dyDescent="0.3">
      <c r="A15" s="162"/>
      <c r="B15" s="8" t="s">
        <v>2</v>
      </c>
      <c r="C15" s="9">
        <v>15.73</v>
      </c>
      <c r="E15" s="8" t="s">
        <v>113</v>
      </c>
      <c r="F15" s="9">
        <v>0.6</v>
      </c>
      <c r="H15" s="12" t="s">
        <v>58</v>
      </c>
      <c r="I15" s="12" t="s">
        <v>90</v>
      </c>
      <c r="K15" s="12" t="s">
        <v>57</v>
      </c>
      <c r="L15" s="12" t="s">
        <v>90</v>
      </c>
      <c r="N15" s="8" t="s">
        <v>113</v>
      </c>
      <c r="O15" s="9">
        <v>1.27</v>
      </c>
      <c r="R15" s="8" t="s">
        <v>112</v>
      </c>
      <c r="S15" s="9">
        <f>4.4581*2.28/4</f>
        <v>2.5411169999999998</v>
      </c>
      <c r="U15" s="7"/>
      <c r="V15" s="7"/>
    </row>
    <row r="16" spans="1:23" ht="18.75" hidden="1" customHeight="1" outlineLevel="1" x14ac:dyDescent="0.3">
      <c r="A16" s="162"/>
      <c r="B16" s="8" t="s">
        <v>116</v>
      </c>
      <c r="C16" s="9">
        <v>0.27</v>
      </c>
      <c r="E16" s="8" t="s">
        <v>98</v>
      </c>
      <c r="F16" s="9">
        <f>2.78+2.83</f>
        <v>5.6099999999999994</v>
      </c>
      <c r="G16" s="3">
        <f>SUM(F14:F16)</f>
        <v>12.19</v>
      </c>
      <c r="H16" s="8" t="s">
        <v>112</v>
      </c>
      <c r="I16" s="9">
        <v>1.08</v>
      </c>
      <c r="K16" s="8" t="s">
        <v>100</v>
      </c>
      <c r="L16" s="9">
        <v>76.62</v>
      </c>
      <c r="N16" s="8" t="s">
        <v>98</v>
      </c>
      <c r="O16" s="9">
        <f>4.15+4.74</f>
        <v>8.89</v>
      </c>
      <c r="P16" s="3">
        <f>SUM(O14:O16)</f>
        <v>17.28</v>
      </c>
      <c r="R16" s="8" t="s">
        <v>61</v>
      </c>
      <c r="S16" s="9">
        <v>3.43</v>
      </c>
      <c r="U16" s="12" t="s">
        <v>57</v>
      </c>
      <c r="V16" s="12" t="s">
        <v>90</v>
      </c>
    </row>
    <row r="17" spans="1:23" ht="18.75" hidden="1" customHeight="1" outlineLevel="1" x14ac:dyDescent="0.3">
      <c r="A17" s="162"/>
      <c r="B17" s="8" t="s">
        <v>109</v>
      </c>
      <c r="C17" s="9">
        <v>1.5</v>
      </c>
      <c r="E17" s="10"/>
      <c r="F17" s="11"/>
      <c r="H17" s="8" t="s">
        <v>61</v>
      </c>
      <c r="I17" s="9">
        <v>3.39</v>
      </c>
      <c r="K17" s="8" t="s">
        <v>2</v>
      </c>
      <c r="L17" s="9">
        <v>16</v>
      </c>
      <c r="N17" s="10"/>
      <c r="O17" s="11"/>
      <c r="R17" s="8" t="s">
        <v>66</v>
      </c>
      <c r="S17" s="9">
        <v>3.06</v>
      </c>
      <c r="U17" s="8" t="s">
        <v>2</v>
      </c>
      <c r="V17" s="9">
        <v>16.350000000000001</v>
      </c>
      <c r="W17" s="3">
        <f>SUM(V17)</f>
        <v>16.350000000000001</v>
      </c>
    </row>
    <row r="18" spans="1:23" ht="18.75" hidden="1" customHeight="1" outlineLevel="1" x14ac:dyDescent="0.3">
      <c r="A18" s="162"/>
      <c r="B18" s="8" t="s">
        <v>9</v>
      </c>
      <c r="C18" s="9">
        <v>11.76</v>
      </c>
      <c r="D18" s="3">
        <f>C18+C17+C16+C15+C14</f>
        <v>31.619999999999997</v>
      </c>
      <c r="E18" s="12" t="s">
        <v>176</v>
      </c>
      <c r="F18" s="13" t="s">
        <v>90</v>
      </c>
      <c r="H18" s="8" t="s">
        <v>66</v>
      </c>
      <c r="I18" s="9">
        <v>3.01</v>
      </c>
      <c r="K18" s="8" t="s">
        <v>9</v>
      </c>
      <c r="L18" s="9">
        <v>11.98</v>
      </c>
      <c r="N18" s="12" t="s">
        <v>176</v>
      </c>
      <c r="O18" s="13" t="s">
        <v>90</v>
      </c>
      <c r="R18" s="8" t="s">
        <v>62</v>
      </c>
      <c r="S18" s="9">
        <v>5.39</v>
      </c>
      <c r="T18" s="3">
        <f>SUM(S15:S18)</f>
        <v>14.421116999999999</v>
      </c>
      <c r="U18" s="7"/>
      <c r="V18" s="7"/>
    </row>
    <row r="19" spans="1:23" ht="18.75" hidden="1" customHeight="1" outlineLevel="1" x14ac:dyDescent="0.3">
      <c r="A19" s="162"/>
      <c r="B19" s="7"/>
      <c r="C19" s="7"/>
      <c r="E19" s="8" t="s">
        <v>86</v>
      </c>
      <c r="F19" s="9">
        <f>0.19*2</f>
        <v>0.38</v>
      </c>
      <c r="G19" s="3">
        <f>SUM(F19)</f>
        <v>0.38</v>
      </c>
      <c r="H19" s="8" t="s">
        <v>62</v>
      </c>
      <c r="I19" s="9">
        <v>4.1500000000000004</v>
      </c>
      <c r="J19" s="3">
        <f>SUM(I16:I19)</f>
        <v>11.63</v>
      </c>
      <c r="K19" s="7"/>
      <c r="L19" s="7"/>
      <c r="N19" s="137" t="s">
        <v>180</v>
      </c>
      <c r="O19" s="138">
        <v>0.25</v>
      </c>
      <c r="R19" s="10"/>
      <c r="S19" s="11"/>
      <c r="U19" s="12" t="s">
        <v>58</v>
      </c>
      <c r="V19" s="12" t="s">
        <v>90</v>
      </c>
    </row>
    <row r="20" spans="1:23" ht="18.75" hidden="1" customHeight="1" outlineLevel="1" x14ac:dyDescent="0.3">
      <c r="A20" s="162"/>
      <c r="B20" s="12" t="s">
        <v>58</v>
      </c>
      <c r="C20" s="12" t="s">
        <v>90</v>
      </c>
      <c r="E20" s="7"/>
      <c r="F20" s="7"/>
      <c r="H20" s="10"/>
      <c r="I20" s="11"/>
      <c r="K20" s="12" t="s">
        <v>58</v>
      </c>
      <c r="L20" s="12" t="s">
        <v>90</v>
      </c>
      <c r="N20" s="137" t="s">
        <v>86</v>
      </c>
      <c r="O20" s="138">
        <v>0.84</v>
      </c>
      <c r="P20" s="3">
        <f>SUM(O19:O20)</f>
        <v>1.0899999999999999</v>
      </c>
      <c r="R20" s="12" t="s">
        <v>176</v>
      </c>
      <c r="S20" s="13" t="s">
        <v>90</v>
      </c>
      <c r="U20" s="8" t="s">
        <v>64</v>
      </c>
      <c r="V20" s="9">
        <v>3.92</v>
      </c>
    </row>
    <row r="21" spans="1:23" ht="19.5" hidden="1" customHeight="1" outlineLevel="1" thickBot="1" x14ac:dyDescent="0.35">
      <c r="A21" s="162"/>
      <c r="B21" s="8" t="s">
        <v>64</v>
      </c>
      <c r="C21" s="9">
        <v>3.28</v>
      </c>
      <c r="E21" s="14" t="s">
        <v>65</v>
      </c>
      <c r="F21" s="15">
        <f>SUM(F14:F16)+SUM(F10:F11)+SUM(F6:F7)+F19</f>
        <v>68.259999999999991</v>
      </c>
      <c r="H21" s="12" t="s">
        <v>176</v>
      </c>
      <c r="I21" s="13" t="s">
        <v>90</v>
      </c>
      <c r="K21" s="8" t="s">
        <v>64</v>
      </c>
      <c r="L21" s="9">
        <v>3.89</v>
      </c>
      <c r="N21" s="7"/>
      <c r="O21" s="7"/>
      <c r="R21" s="137" t="s">
        <v>86</v>
      </c>
      <c r="S21" s="138">
        <v>0.84</v>
      </c>
      <c r="T21" s="3">
        <f>SUM(S21:S21)</f>
        <v>0.84</v>
      </c>
      <c r="U21" s="8" t="s">
        <v>127</v>
      </c>
      <c r="V21" s="9">
        <v>6.92</v>
      </c>
    </row>
    <row r="22" spans="1:23" ht="19.5" hidden="1" customHeight="1" outlineLevel="1" thickBot="1" x14ac:dyDescent="0.35">
      <c r="A22" s="162"/>
      <c r="B22" s="8" t="s">
        <v>85</v>
      </c>
      <c r="C22" s="9">
        <v>3.72</v>
      </c>
      <c r="H22" s="8" t="s">
        <v>86</v>
      </c>
      <c r="I22" s="9">
        <v>0.83</v>
      </c>
      <c r="J22" s="3">
        <f>SUM(I22)</f>
        <v>0.83</v>
      </c>
      <c r="K22" s="8" t="s">
        <v>127</v>
      </c>
      <c r="L22" s="9">
        <v>4.4400000000000004</v>
      </c>
      <c r="N22" s="14" t="s">
        <v>65</v>
      </c>
      <c r="O22" s="15">
        <f>SUM(O14:O16)+SUM(O10:O11)+SUM(O6:O7)+O19+O20</f>
        <v>135.57000000000002</v>
      </c>
      <c r="R22" s="7"/>
      <c r="S22" s="7"/>
      <c r="U22" s="8" t="s">
        <v>85</v>
      </c>
      <c r="V22" s="9">
        <v>4.12</v>
      </c>
    </row>
    <row r="23" spans="1:23" ht="19.5" hidden="1" customHeight="1" outlineLevel="1" thickBot="1" x14ac:dyDescent="0.35">
      <c r="A23" s="162"/>
      <c r="B23" s="8" t="s">
        <v>84</v>
      </c>
      <c r="C23" s="9">
        <v>4.4000000000000004</v>
      </c>
      <c r="H23" s="7"/>
      <c r="I23" s="7"/>
      <c r="K23" s="8" t="s">
        <v>85</v>
      </c>
      <c r="L23" s="9">
        <v>4.09</v>
      </c>
      <c r="N23" s="135"/>
      <c r="O23" s="136"/>
      <c r="R23" s="14" t="s">
        <v>65</v>
      </c>
      <c r="S23" s="15">
        <f>SUM(S15:S18)+SUM(S11:S12)+SUM(S6:S8)+S21</f>
        <v>82.761116999999999</v>
      </c>
      <c r="U23" s="8" t="s">
        <v>84</v>
      </c>
      <c r="V23" s="9">
        <v>4.68</v>
      </c>
    </row>
    <row r="24" spans="1:23" ht="19.5" hidden="1" customHeight="1" outlineLevel="1" thickBot="1" x14ac:dyDescent="0.35">
      <c r="A24" s="162"/>
      <c r="B24" s="10"/>
      <c r="C24" s="11"/>
      <c r="H24" s="14" t="s">
        <v>65</v>
      </c>
      <c r="I24" s="15">
        <f>SUM(I16:I19)+SUM(I12:I13)+SUM(I6:I9)+I22</f>
        <v>69.179999999999993</v>
      </c>
      <c r="K24" s="8" t="s">
        <v>84</v>
      </c>
      <c r="L24" s="9">
        <v>4.43</v>
      </c>
      <c r="N24" s="135"/>
      <c r="O24" s="136"/>
      <c r="U24" s="8" t="s">
        <v>6</v>
      </c>
      <c r="V24" s="9">
        <v>1.58</v>
      </c>
      <c r="W24" s="3">
        <f>SUM(V20:V24)</f>
        <v>21.22</v>
      </c>
    </row>
    <row r="25" spans="1:23" ht="18.75" hidden="1" customHeight="1" outlineLevel="1" x14ac:dyDescent="0.3">
      <c r="A25" s="162"/>
      <c r="B25" s="12" t="s">
        <v>105</v>
      </c>
      <c r="C25" s="13" t="s">
        <v>90</v>
      </c>
      <c r="K25" s="8" t="s">
        <v>6</v>
      </c>
      <c r="L25" s="9">
        <v>0.76</v>
      </c>
      <c r="N25" s="135"/>
      <c r="O25" s="136"/>
      <c r="U25" s="10"/>
      <c r="V25" s="11"/>
    </row>
    <row r="26" spans="1:23" ht="18.75" hidden="1" customHeight="1" outlineLevel="1" x14ac:dyDescent="0.3">
      <c r="A26" s="162"/>
      <c r="B26" s="8" t="s">
        <v>143</v>
      </c>
      <c r="C26" s="9">
        <f>241*0.6</f>
        <v>144.6</v>
      </c>
      <c r="K26" s="10"/>
      <c r="L26" s="11"/>
      <c r="N26" s="135"/>
      <c r="O26" s="136"/>
      <c r="U26" s="12" t="s">
        <v>176</v>
      </c>
      <c r="V26" s="13" t="s">
        <v>90</v>
      </c>
    </row>
    <row r="27" spans="1:23" ht="18.75" hidden="1" customHeight="1" outlineLevel="1" x14ac:dyDescent="0.3">
      <c r="A27" s="162"/>
      <c r="B27" s="7"/>
      <c r="C27" s="7"/>
      <c r="K27" s="12" t="s">
        <v>176</v>
      </c>
      <c r="L27" s="13" t="s">
        <v>90</v>
      </c>
      <c r="N27" s="135"/>
      <c r="O27" s="136"/>
      <c r="U27" s="8" t="s">
        <v>86</v>
      </c>
      <c r="V27" s="9">
        <v>0.84</v>
      </c>
      <c r="W27" s="3">
        <f>SUM(V27)</f>
        <v>0.84</v>
      </c>
    </row>
    <row r="28" spans="1:23" ht="19.5" hidden="1" customHeight="1" outlineLevel="1" thickBot="1" x14ac:dyDescent="0.35">
      <c r="A28" s="162"/>
      <c r="B28" s="14" t="s">
        <v>65</v>
      </c>
      <c r="C28" s="15">
        <f>SUM(C21:C23)+SUM(C14:C18)+SUM(C6:C11)+C26</f>
        <v>222.92</v>
      </c>
      <c r="K28" s="8" t="s">
        <v>86</v>
      </c>
      <c r="L28" s="9">
        <v>0.83</v>
      </c>
      <c r="N28" s="135"/>
      <c r="O28" s="136"/>
      <c r="U28" s="7"/>
      <c r="V28" s="7"/>
    </row>
    <row r="29" spans="1:23" ht="19.5" hidden="1" customHeight="1" outlineLevel="1" thickBot="1" x14ac:dyDescent="0.35">
      <c r="A29" s="162"/>
      <c r="B29" s="7"/>
      <c r="C29" s="7"/>
      <c r="K29" s="7"/>
      <c r="L29" s="7"/>
      <c r="N29" s="135"/>
      <c r="O29" s="136"/>
      <c r="U29" s="14" t="s">
        <v>65</v>
      </c>
      <c r="V29" s="15">
        <f>SUM(V20:V24)+SUM(V17:V17)+SUM(V6:V14)+V27</f>
        <v>109.62</v>
      </c>
    </row>
    <row r="30" spans="1:23" ht="19.5" hidden="1" customHeight="1" outlineLevel="1" thickBot="1" x14ac:dyDescent="0.35">
      <c r="A30" s="162"/>
      <c r="K30" s="14" t="s">
        <v>65</v>
      </c>
      <c r="L30" s="15">
        <f>SUM(L21:L25)+SUM(L16:L18)+SUM(L6:L13)+L28</f>
        <v>195.01000000000002</v>
      </c>
      <c r="N30" s="135"/>
      <c r="O30" s="135"/>
    </row>
    <row r="31" spans="1:23" ht="18.75" collapsed="1" x14ac:dyDescent="0.3">
      <c r="A31" s="162" t="s">
        <v>202</v>
      </c>
      <c r="N31" s="135"/>
      <c r="O31" s="136"/>
    </row>
    <row r="33" spans="1:48" x14ac:dyDescent="0.25">
      <c r="A33" s="5">
        <v>2016</v>
      </c>
    </row>
    <row r="34" spans="1:48" hidden="1" outlineLevel="1" x14ac:dyDescent="0.25">
      <c r="A34" s="5"/>
      <c r="B34" s="288" t="s">
        <v>141</v>
      </c>
      <c r="C34" s="288"/>
      <c r="F34" s="288" t="s">
        <v>141</v>
      </c>
      <c r="G34" s="288"/>
      <c r="J34" s="288" t="s">
        <v>141</v>
      </c>
      <c r="K34" s="288"/>
      <c r="N34" s="288" t="s">
        <v>141</v>
      </c>
      <c r="O34" s="288"/>
      <c r="R34" s="288" t="s">
        <v>141</v>
      </c>
      <c r="S34" s="288"/>
      <c r="V34" s="288" t="s">
        <v>141</v>
      </c>
      <c r="W34" s="288"/>
      <c r="Z34" s="288" t="s">
        <v>141</v>
      </c>
      <c r="AA34" s="288"/>
      <c r="AD34" s="288" t="s">
        <v>141</v>
      </c>
      <c r="AE34" s="288"/>
      <c r="AH34" s="288" t="s">
        <v>141</v>
      </c>
      <c r="AI34" s="288"/>
      <c r="AL34" s="288" t="s">
        <v>141</v>
      </c>
      <c r="AM34" s="288"/>
      <c r="AP34" s="288" t="s">
        <v>141</v>
      </c>
      <c r="AQ34" s="288"/>
      <c r="AT34" s="288" t="s">
        <v>141</v>
      </c>
      <c r="AU34" s="288"/>
    </row>
    <row r="35" spans="1:48" hidden="1" outlineLevel="1" x14ac:dyDescent="0.25">
      <c r="A35" s="5"/>
      <c r="B35" s="291">
        <v>42385</v>
      </c>
      <c r="C35" s="291"/>
      <c r="F35" s="291">
        <v>42416</v>
      </c>
      <c r="G35" s="291"/>
      <c r="J35" s="291">
        <v>42445</v>
      </c>
      <c r="K35" s="291"/>
      <c r="N35" s="291">
        <v>42476</v>
      </c>
      <c r="O35" s="291"/>
      <c r="R35" s="291">
        <v>42506</v>
      </c>
      <c r="S35" s="291"/>
      <c r="V35" s="291">
        <v>42537</v>
      </c>
      <c r="W35" s="291"/>
      <c r="Z35" s="291">
        <v>42552</v>
      </c>
      <c r="AA35" s="291"/>
      <c r="AD35" s="291">
        <v>42598</v>
      </c>
      <c r="AE35" s="291"/>
      <c r="AH35" s="291">
        <v>42629</v>
      </c>
      <c r="AI35" s="291"/>
      <c r="AL35" s="291">
        <v>42659</v>
      </c>
      <c r="AM35" s="291"/>
      <c r="AP35" s="291">
        <v>42690</v>
      </c>
      <c r="AQ35" s="291"/>
      <c r="AT35" s="291">
        <v>42720</v>
      </c>
      <c r="AU35" s="291"/>
    </row>
    <row r="36" spans="1:48" hidden="1" outlineLevel="1" x14ac:dyDescent="0.25">
      <c r="A36" s="5"/>
      <c r="B36" s="12" t="s">
        <v>142</v>
      </c>
      <c r="C36" s="12" t="s">
        <v>90</v>
      </c>
      <c r="F36" s="12" t="s">
        <v>142</v>
      </c>
      <c r="G36" s="12" t="s">
        <v>90</v>
      </c>
      <c r="J36" s="12" t="s">
        <v>142</v>
      </c>
      <c r="K36" s="12" t="s">
        <v>90</v>
      </c>
      <c r="N36" s="12" t="s">
        <v>142</v>
      </c>
      <c r="O36" s="12" t="s">
        <v>90</v>
      </c>
      <c r="R36" s="12" t="s">
        <v>142</v>
      </c>
      <c r="S36" s="12" t="s">
        <v>90</v>
      </c>
      <c r="V36" s="12" t="s">
        <v>142</v>
      </c>
      <c r="W36" s="12" t="s">
        <v>90</v>
      </c>
      <c r="Z36" s="12" t="s">
        <v>142</v>
      </c>
      <c r="AA36" s="12" t="s">
        <v>90</v>
      </c>
      <c r="AD36" s="12" t="s">
        <v>142</v>
      </c>
      <c r="AE36" s="12" t="s">
        <v>90</v>
      </c>
      <c r="AH36" s="12" t="s">
        <v>142</v>
      </c>
      <c r="AI36" s="12" t="s">
        <v>90</v>
      </c>
      <c r="AL36" s="12" t="s">
        <v>142</v>
      </c>
      <c r="AM36" s="12" t="s">
        <v>90</v>
      </c>
      <c r="AP36" s="12" t="s">
        <v>142</v>
      </c>
      <c r="AQ36" s="12" t="s">
        <v>90</v>
      </c>
      <c r="AT36" s="12" t="s">
        <v>142</v>
      </c>
      <c r="AU36" s="12" t="s">
        <v>90</v>
      </c>
    </row>
    <row r="37" spans="1:48" hidden="1" outlineLevel="1" x14ac:dyDescent="0.25">
      <c r="A37" s="5"/>
      <c r="B37" s="8" t="s">
        <v>185</v>
      </c>
      <c r="C37" s="9">
        <v>24</v>
      </c>
      <c r="F37" s="8" t="s">
        <v>97</v>
      </c>
      <c r="G37" s="9">
        <v>13.49</v>
      </c>
      <c r="J37" s="8" t="s">
        <v>5</v>
      </c>
      <c r="K37" s="9">
        <v>7.81</v>
      </c>
      <c r="N37" s="8" t="s">
        <v>2</v>
      </c>
      <c r="O37" s="9">
        <v>8.4700000000000006</v>
      </c>
      <c r="R37" s="8" t="s">
        <v>97</v>
      </c>
      <c r="S37" s="9">
        <v>13.6</v>
      </c>
      <c r="V37" s="8" t="s">
        <v>5</v>
      </c>
      <c r="W37" s="9">
        <v>7.97</v>
      </c>
      <c r="Z37" s="8" t="s">
        <v>185</v>
      </c>
      <c r="AA37" s="9">
        <v>25.2</v>
      </c>
      <c r="AD37" s="8" t="s">
        <v>97</v>
      </c>
      <c r="AE37" s="9">
        <f>13.7</f>
        <v>13.7</v>
      </c>
      <c r="AH37" s="8" t="s">
        <v>124</v>
      </c>
      <c r="AI37" s="9">
        <v>12.57</v>
      </c>
      <c r="AL37" s="8" t="s">
        <v>124</v>
      </c>
      <c r="AM37" s="9">
        <v>12.63</v>
      </c>
      <c r="AP37" s="8" t="s">
        <v>124</v>
      </c>
      <c r="AQ37" s="9">
        <v>12.69</v>
      </c>
      <c r="AT37" s="8" t="s">
        <v>124</v>
      </c>
      <c r="AU37" s="9">
        <v>12.76</v>
      </c>
    </row>
    <row r="38" spans="1:48" hidden="1" outlineLevel="1" x14ac:dyDescent="0.25">
      <c r="A38" s="5"/>
      <c r="B38" s="8" t="s">
        <v>124</v>
      </c>
      <c r="C38" s="9">
        <v>11.92</v>
      </c>
      <c r="D38" s="3"/>
      <c r="E38" s="3"/>
      <c r="F38" s="8" t="s">
        <v>124</v>
      </c>
      <c r="G38" s="9">
        <v>12.08</v>
      </c>
      <c r="J38" s="8" t="s">
        <v>119</v>
      </c>
      <c r="K38" s="9">
        <v>3.14</v>
      </c>
      <c r="N38" s="8" t="s">
        <v>185</v>
      </c>
      <c r="O38" s="9">
        <v>24.58</v>
      </c>
      <c r="R38" s="8" t="s">
        <v>187</v>
      </c>
      <c r="S38" s="9">
        <v>42.56</v>
      </c>
      <c r="V38" s="8" t="s">
        <v>119</v>
      </c>
      <c r="W38" s="9">
        <v>3.16</v>
      </c>
      <c r="Z38" s="8" t="s">
        <v>124</v>
      </c>
      <c r="AA38" s="9">
        <v>12.45</v>
      </c>
      <c r="AB38" s="3">
        <f>SUM(AA37:AA38)</f>
        <v>37.65</v>
      </c>
      <c r="AD38" s="8" t="s">
        <v>124</v>
      </c>
      <c r="AE38" s="9">
        <v>12.51</v>
      </c>
      <c r="AH38" s="8" t="s">
        <v>1</v>
      </c>
      <c r="AI38" s="9">
        <f>0.618*21.087</f>
        <v>13.031765999999999</v>
      </c>
      <c r="AL38" s="8" t="s">
        <v>185</v>
      </c>
      <c r="AM38" s="9">
        <f>0.48*53.709</f>
        <v>25.78032</v>
      </c>
      <c r="AP38" s="8" t="s">
        <v>119</v>
      </c>
      <c r="AQ38" s="9">
        <f>12.184*0.28</f>
        <v>3.4115200000000003</v>
      </c>
      <c r="AT38" s="8" t="s">
        <v>86</v>
      </c>
      <c r="AU38" s="9">
        <v>22.22</v>
      </c>
    </row>
    <row r="39" spans="1:48" hidden="1" outlineLevel="1" x14ac:dyDescent="0.25">
      <c r="A39" s="5"/>
      <c r="B39" s="8" t="s">
        <v>86</v>
      </c>
      <c r="C39" s="9">
        <v>4.8899999999999997</v>
      </c>
      <c r="D39" s="3">
        <f>SUM(C37:C39)</f>
        <v>40.81</v>
      </c>
      <c r="F39" s="8" t="s">
        <v>187</v>
      </c>
      <c r="G39" s="9">
        <v>37.5</v>
      </c>
      <c r="J39" s="8" t="s">
        <v>124</v>
      </c>
      <c r="K39" s="9">
        <v>12.17</v>
      </c>
      <c r="N39" s="8" t="s">
        <v>124</v>
      </c>
      <c r="O39" s="9">
        <v>12.25</v>
      </c>
      <c r="P39" s="3">
        <f>SUM(O37:O39)</f>
        <v>45.3</v>
      </c>
      <c r="R39" s="8" t="s">
        <v>124</v>
      </c>
      <c r="S39" s="9">
        <v>12.32</v>
      </c>
      <c r="T39" s="3">
        <f>SUM(S37:S39)</f>
        <v>68.48</v>
      </c>
      <c r="V39" s="8" t="s">
        <v>124</v>
      </c>
      <c r="W39" s="9">
        <v>12.38</v>
      </c>
      <c r="Z39" s="7"/>
      <c r="AA39" s="7"/>
      <c r="AD39" s="8" t="s">
        <v>187</v>
      </c>
      <c r="AE39" s="9">
        <v>17.86</v>
      </c>
      <c r="AH39" s="8" t="s">
        <v>196</v>
      </c>
      <c r="AI39" s="9">
        <f>40*0.63</f>
        <v>25.2</v>
      </c>
      <c r="AL39" s="8" t="s">
        <v>195</v>
      </c>
      <c r="AM39" s="9">
        <v>14.02</v>
      </c>
      <c r="AN39" s="3">
        <f>SUM(AM37:AM39)</f>
        <v>52.430319999999995</v>
      </c>
      <c r="AP39" s="8" t="s">
        <v>213</v>
      </c>
      <c r="AQ39" s="9">
        <v>13.78</v>
      </c>
      <c r="AT39" s="8" t="s">
        <v>1</v>
      </c>
      <c r="AU39" s="9">
        <v>13.11</v>
      </c>
    </row>
    <row r="40" spans="1:48" hidden="1" outlineLevel="1" x14ac:dyDescent="0.25">
      <c r="A40" s="5"/>
      <c r="B40" s="7"/>
      <c r="C40" s="7"/>
      <c r="F40" s="8" t="s">
        <v>86</v>
      </c>
      <c r="G40" s="9">
        <f>3.57+1.53</f>
        <v>5.0999999999999996</v>
      </c>
      <c r="H40" s="3">
        <f>SUM(G37:G40)</f>
        <v>68.17</v>
      </c>
      <c r="J40" s="8" t="s">
        <v>1</v>
      </c>
      <c r="K40" s="9">
        <v>12.14</v>
      </c>
      <c r="N40" s="7"/>
      <c r="O40" s="7"/>
      <c r="R40" s="7"/>
      <c r="S40" s="7"/>
      <c r="V40" s="8" t="s">
        <v>1</v>
      </c>
      <c r="W40" s="9">
        <v>12.22</v>
      </c>
      <c r="Z40" s="12" t="s">
        <v>57</v>
      </c>
      <c r="AA40" s="12" t="s">
        <v>90</v>
      </c>
      <c r="AD40" s="8" t="s">
        <v>119</v>
      </c>
      <c r="AE40" s="9">
        <f>0.28*12.184</f>
        <v>3.4115200000000003</v>
      </c>
      <c r="AH40" s="8" t="s">
        <v>4</v>
      </c>
      <c r="AI40" s="9">
        <f>16.688*0.29</f>
        <v>4.8395199999999994</v>
      </c>
      <c r="AL40" s="7"/>
      <c r="AM40" s="7"/>
      <c r="AP40" s="8" t="s">
        <v>187</v>
      </c>
      <c r="AQ40" s="9">
        <v>48.29</v>
      </c>
      <c r="AT40" s="8" t="s">
        <v>2</v>
      </c>
      <c r="AU40" s="9">
        <v>9.18</v>
      </c>
    </row>
    <row r="41" spans="1:48" hidden="1" outlineLevel="1" x14ac:dyDescent="0.25">
      <c r="A41" s="5"/>
      <c r="B41" s="12" t="s">
        <v>57</v>
      </c>
      <c r="C41" s="12" t="s">
        <v>90</v>
      </c>
      <c r="F41" s="7"/>
      <c r="G41" s="7"/>
      <c r="J41" s="8" t="s">
        <v>67</v>
      </c>
      <c r="K41" s="9">
        <f>0.55*16.529</f>
        <v>9.0909500000000012</v>
      </c>
      <c r="N41" s="12" t="s">
        <v>57</v>
      </c>
      <c r="O41" s="12" t="s">
        <v>90</v>
      </c>
      <c r="R41" s="12" t="s">
        <v>57</v>
      </c>
      <c r="S41" s="12" t="s">
        <v>90</v>
      </c>
      <c r="V41" s="8" t="s">
        <v>4</v>
      </c>
      <c r="W41" s="9">
        <v>3.72</v>
      </c>
      <c r="Z41" s="8" t="s">
        <v>83</v>
      </c>
      <c r="AA41" s="9">
        <f>0.23*107.058</f>
        <v>24.623340000000002</v>
      </c>
      <c r="AB41" s="3"/>
      <c r="AD41" s="8" t="s">
        <v>195</v>
      </c>
      <c r="AE41" s="9">
        <f>0.18*75</f>
        <v>13.5</v>
      </c>
      <c r="AF41" s="3">
        <f>SUM(AE37:AE41)</f>
        <v>60.981520000000003</v>
      </c>
      <c r="AH41" s="8" t="s">
        <v>5</v>
      </c>
      <c r="AI41" s="9">
        <f>0.38*111.136</f>
        <v>42.231679999999997</v>
      </c>
      <c r="AL41" s="12" t="s">
        <v>57</v>
      </c>
      <c r="AM41" s="12" t="s">
        <v>90</v>
      </c>
      <c r="AP41" s="8" t="s">
        <v>195</v>
      </c>
      <c r="AQ41" s="9">
        <v>14.1</v>
      </c>
      <c r="AR41" s="3">
        <f>SUM(AQ37:AQ41)</f>
        <v>92.271519999999995</v>
      </c>
      <c r="AT41" s="8" t="s">
        <v>200</v>
      </c>
      <c r="AU41" s="9">
        <f>2.1+0.26</f>
        <v>2.3600000000000003</v>
      </c>
    </row>
    <row r="42" spans="1:48" hidden="1" outlineLevel="1" x14ac:dyDescent="0.25">
      <c r="A42" s="5"/>
      <c r="B42" s="137" t="s">
        <v>83</v>
      </c>
      <c r="C42" s="137">
        <v>24.24</v>
      </c>
      <c r="F42" s="12" t="s">
        <v>57</v>
      </c>
      <c r="G42" s="12" t="s">
        <v>90</v>
      </c>
      <c r="J42" s="8" t="s">
        <v>4</v>
      </c>
      <c r="K42" s="9">
        <v>3.05</v>
      </c>
      <c r="N42" s="8" t="s">
        <v>83</v>
      </c>
      <c r="O42" s="9">
        <v>24.44</v>
      </c>
      <c r="P42" s="3"/>
      <c r="R42" s="8" t="s">
        <v>83</v>
      </c>
      <c r="S42" s="9"/>
      <c r="T42" s="3"/>
      <c r="V42" s="8" t="s">
        <v>125</v>
      </c>
      <c r="W42" s="9">
        <v>12.27</v>
      </c>
      <c r="Z42" s="8" t="s">
        <v>114</v>
      </c>
      <c r="AA42" s="9">
        <f>0.71*24.303</f>
        <v>17.255130000000001</v>
      </c>
      <c r="AB42" s="3">
        <f>SUM(AA41:AA42)</f>
        <v>41.878470000000007</v>
      </c>
      <c r="AD42" s="7"/>
      <c r="AE42" s="7"/>
      <c r="AH42" s="8" t="s">
        <v>67</v>
      </c>
      <c r="AI42" s="9">
        <f>16.755*0.55</f>
        <v>9.2152500000000011</v>
      </c>
      <c r="AL42" s="8" t="s">
        <v>83</v>
      </c>
      <c r="AM42" s="9">
        <v>24.8</v>
      </c>
      <c r="AN42" s="3"/>
      <c r="AP42" s="7"/>
      <c r="AQ42" s="7"/>
      <c r="AT42" s="9" t="s">
        <v>4</v>
      </c>
      <c r="AU42" s="9">
        <v>3.06</v>
      </c>
      <c r="AV42" s="136"/>
    </row>
    <row r="43" spans="1:48" hidden="1" outlineLevel="1" x14ac:dyDescent="0.25">
      <c r="A43" s="5"/>
      <c r="B43" s="8" t="s">
        <v>114</v>
      </c>
      <c r="C43" s="9">
        <v>17.13</v>
      </c>
      <c r="D43">
        <f>SUM(C42:C43)</f>
        <v>41.37</v>
      </c>
      <c r="F43" s="137" t="s">
        <v>184</v>
      </c>
      <c r="G43" s="138">
        <v>24</v>
      </c>
      <c r="H43" s="3">
        <f>SUM(G43:G43)</f>
        <v>24</v>
      </c>
      <c r="J43" s="8" t="s">
        <v>125</v>
      </c>
      <c r="K43" s="9">
        <v>11.42</v>
      </c>
      <c r="L43" s="3">
        <f>SUM(K37:K43)</f>
        <v>58.820949999999996</v>
      </c>
      <c r="N43" s="8" t="s">
        <v>2</v>
      </c>
      <c r="O43" s="9">
        <v>16.72</v>
      </c>
      <c r="R43" s="137" t="s">
        <v>100</v>
      </c>
      <c r="S43" s="138"/>
      <c r="T43" s="3">
        <f>SUM(S42:S43)</f>
        <v>0</v>
      </c>
      <c r="V43" s="8" t="s">
        <v>67</v>
      </c>
      <c r="W43" s="9">
        <v>9.15</v>
      </c>
      <c r="Z43" s="7"/>
      <c r="AA43" s="7"/>
      <c r="AD43" s="12"/>
      <c r="AE43" s="12"/>
      <c r="AF43" s="3"/>
      <c r="AH43" s="8" t="s">
        <v>200</v>
      </c>
      <c r="AI43" s="9">
        <f>0.59+0.39</f>
        <v>0.98</v>
      </c>
      <c r="AL43" s="8" t="s">
        <v>212</v>
      </c>
      <c r="AM43" s="9">
        <v>0.51</v>
      </c>
      <c r="AN43" s="3"/>
      <c r="AP43" s="12" t="s">
        <v>57</v>
      </c>
      <c r="AQ43" s="12" t="s">
        <v>90</v>
      </c>
      <c r="AT43" s="9" t="s">
        <v>5</v>
      </c>
      <c r="AU43" s="9">
        <v>42.56</v>
      </c>
      <c r="AV43" s="136"/>
    </row>
    <row r="44" spans="1:48" hidden="1" outlineLevel="1" x14ac:dyDescent="0.25">
      <c r="A44" s="5"/>
      <c r="B44" s="7"/>
      <c r="C44" s="7"/>
      <c r="F44" s="7"/>
      <c r="G44" s="7"/>
      <c r="H44" s="3"/>
      <c r="J44" s="7"/>
      <c r="K44" s="7"/>
      <c r="N44" s="137" t="s">
        <v>100</v>
      </c>
      <c r="O44" s="138">
        <f>104.313*0.32</f>
        <v>33.380160000000004</v>
      </c>
      <c r="P44" s="3">
        <f>SUM(O42:O44)</f>
        <v>74.54016</v>
      </c>
      <c r="R44" s="7"/>
      <c r="S44" s="7"/>
      <c r="V44" s="8" t="s">
        <v>2</v>
      </c>
      <c r="W44" s="9">
        <v>8.68</v>
      </c>
      <c r="X44" s="3">
        <f>SUM(W37:W44)</f>
        <v>69.55</v>
      </c>
      <c r="Z44" s="12" t="s">
        <v>58</v>
      </c>
      <c r="AA44" s="12" t="s">
        <v>90</v>
      </c>
      <c r="AD44" s="8"/>
      <c r="AE44" s="9"/>
      <c r="AH44" s="8" t="s">
        <v>2</v>
      </c>
      <c r="AI44" s="9">
        <v>8.91</v>
      </c>
      <c r="AL44" s="8" t="s">
        <v>114</v>
      </c>
      <c r="AM44" s="9"/>
      <c r="AN44" s="3">
        <f>SUM(AM42:AM44)</f>
        <v>25.310000000000002</v>
      </c>
      <c r="AP44" s="8" t="s">
        <v>83</v>
      </c>
      <c r="AQ44" s="9"/>
      <c r="AR44" s="3"/>
      <c r="AT44" s="9" t="s">
        <v>67</v>
      </c>
      <c r="AU44" s="9">
        <v>10.199999999999999</v>
      </c>
      <c r="AV44" s="136"/>
    </row>
    <row r="45" spans="1:48" hidden="1" outlineLevel="1" x14ac:dyDescent="0.25">
      <c r="A45" s="5"/>
      <c r="B45" s="12" t="s">
        <v>58</v>
      </c>
      <c r="C45" s="12" t="s">
        <v>90</v>
      </c>
      <c r="D45" s="3"/>
      <c r="F45" s="12" t="s">
        <v>58</v>
      </c>
      <c r="G45" s="12" t="s">
        <v>90</v>
      </c>
      <c r="J45" s="12" t="s">
        <v>57</v>
      </c>
      <c r="K45" s="12" t="s">
        <v>90</v>
      </c>
      <c r="N45" s="7"/>
      <c r="O45" s="7"/>
      <c r="R45" s="12" t="s">
        <v>58</v>
      </c>
      <c r="S45" s="12" t="s">
        <v>90</v>
      </c>
      <c r="V45" s="7"/>
      <c r="W45" s="7"/>
      <c r="Z45" s="8" t="s">
        <v>60</v>
      </c>
      <c r="AA45" s="9">
        <v>8.66</v>
      </c>
      <c r="AB45" s="3"/>
      <c r="AD45" s="8"/>
      <c r="AE45" s="9"/>
      <c r="AF45" s="3"/>
      <c r="AH45" s="8" t="s">
        <v>195</v>
      </c>
      <c r="AI45" s="9">
        <f>0.18*75</f>
        <v>13.5</v>
      </c>
      <c r="AJ45" s="3">
        <f>SUM(AI37:AI45)</f>
        <v>130.47821599999997</v>
      </c>
      <c r="AL45" s="7"/>
      <c r="AM45" s="7"/>
      <c r="AP45" s="8" t="s">
        <v>114</v>
      </c>
      <c r="AQ45" s="9"/>
      <c r="AR45" s="3">
        <f>SUM(AQ44:AQ45)</f>
        <v>0</v>
      </c>
      <c r="AT45" s="9" t="s">
        <v>215</v>
      </c>
      <c r="AU45" s="9">
        <v>3.42</v>
      </c>
      <c r="AV45" s="136"/>
    </row>
    <row r="46" spans="1:48" hidden="1" outlineLevel="1" x14ac:dyDescent="0.25">
      <c r="A46" s="5"/>
      <c r="B46" s="8" t="s">
        <v>60</v>
      </c>
      <c r="C46" s="9">
        <v>7.18</v>
      </c>
      <c r="F46" s="8" t="s">
        <v>62</v>
      </c>
      <c r="G46" s="9">
        <v>5.39</v>
      </c>
      <c r="H46" s="3"/>
      <c r="J46" s="137" t="s">
        <v>190</v>
      </c>
      <c r="K46" s="138">
        <f>24*0.56/4</f>
        <v>3.3600000000000003</v>
      </c>
      <c r="L46" s="3">
        <f>SUM(K46:K46)</f>
        <v>3.3600000000000003</v>
      </c>
      <c r="N46" s="12" t="s">
        <v>58</v>
      </c>
      <c r="O46" s="12" t="s">
        <v>90</v>
      </c>
      <c r="R46" s="8" t="s">
        <v>62</v>
      </c>
      <c r="S46" s="9">
        <v>5.44</v>
      </c>
      <c r="T46" s="3"/>
      <c r="V46" s="12" t="s">
        <v>57</v>
      </c>
      <c r="W46" s="12" t="s">
        <v>90</v>
      </c>
      <c r="Z46" s="8" t="s">
        <v>113</v>
      </c>
      <c r="AA46" s="9">
        <v>2.68</v>
      </c>
      <c r="AB46" s="3"/>
      <c r="AD46" s="7"/>
      <c r="AE46" s="7"/>
      <c r="AH46" s="7"/>
      <c r="AI46" s="7"/>
      <c r="AL46" s="12" t="s">
        <v>58</v>
      </c>
      <c r="AM46" s="12" t="s">
        <v>90</v>
      </c>
      <c r="AP46" s="7"/>
      <c r="AQ46" s="7"/>
      <c r="AT46" s="8" t="s">
        <v>195</v>
      </c>
      <c r="AU46" s="9">
        <f>14.17+21.17</f>
        <v>35.340000000000003</v>
      </c>
      <c r="AV46" s="3">
        <f>SUM(AU37:AU46)</f>
        <v>154.21</v>
      </c>
    </row>
    <row r="47" spans="1:48" hidden="1" outlineLevel="1" x14ac:dyDescent="0.25">
      <c r="A47" s="5"/>
      <c r="B47" s="8" t="s">
        <v>113</v>
      </c>
      <c r="C47" s="9">
        <v>1.28</v>
      </c>
      <c r="F47" s="8" t="s">
        <v>66</v>
      </c>
      <c r="G47" s="9">
        <v>3.06</v>
      </c>
      <c r="J47" s="7"/>
      <c r="K47" s="7"/>
      <c r="L47" s="3"/>
      <c r="N47" s="8" t="s">
        <v>60</v>
      </c>
      <c r="O47" s="9">
        <v>8.15</v>
      </c>
      <c r="P47" s="3"/>
      <c r="R47" s="8" t="s">
        <v>66</v>
      </c>
      <c r="S47" s="9">
        <v>3.12</v>
      </c>
      <c r="T47" s="3"/>
      <c r="V47" s="8" t="s">
        <v>2</v>
      </c>
      <c r="W47" s="8">
        <v>17.13</v>
      </c>
      <c r="Z47" s="8" t="s">
        <v>98</v>
      </c>
      <c r="AA47" s="9">
        <f>6.49+5.46</f>
        <v>11.95</v>
      </c>
      <c r="AB47" s="3">
        <f>SUM(AA45:AA47)</f>
        <v>23.29</v>
      </c>
      <c r="AD47" s="12" t="s">
        <v>58</v>
      </c>
      <c r="AE47" s="12" t="s">
        <v>90</v>
      </c>
      <c r="AF47" s="3"/>
      <c r="AH47" s="12" t="s">
        <v>57</v>
      </c>
      <c r="AI47" s="12" t="s">
        <v>90</v>
      </c>
      <c r="AL47" s="8" t="s">
        <v>60</v>
      </c>
      <c r="AM47" s="9">
        <f>9.42</f>
        <v>9.42</v>
      </c>
      <c r="AN47" s="3"/>
      <c r="AP47" s="12" t="s">
        <v>58</v>
      </c>
      <c r="AQ47" s="12" t="s">
        <v>90</v>
      </c>
      <c r="AT47" s="7"/>
      <c r="AU47" s="7"/>
    </row>
    <row r="48" spans="1:48" hidden="1" outlineLevel="1" x14ac:dyDescent="0.25">
      <c r="A48" s="5"/>
      <c r="B48" s="8" t="s">
        <v>98</v>
      </c>
      <c r="C48" s="9">
        <f>4.79+5.39</f>
        <v>10.18</v>
      </c>
      <c r="D48" s="3">
        <f>SUM(C46:C48)</f>
        <v>18.64</v>
      </c>
      <c r="F48" s="8" t="s">
        <v>61</v>
      </c>
      <c r="G48" s="9">
        <v>3.43</v>
      </c>
      <c r="J48" s="12" t="s">
        <v>58</v>
      </c>
      <c r="K48" s="12" t="s">
        <v>90</v>
      </c>
      <c r="N48" s="8" t="s">
        <v>113</v>
      </c>
      <c r="O48" s="9">
        <v>2.25</v>
      </c>
      <c r="P48" s="3"/>
      <c r="R48" s="8" t="s">
        <v>112</v>
      </c>
      <c r="S48" s="9">
        <v>1.84</v>
      </c>
      <c r="T48" s="3"/>
      <c r="V48" s="137" t="s">
        <v>190</v>
      </c>
      <c r="W48" s="138">
        <v>3.37</v>
      </c>
      <c r="X48" s="3">
        <f>SUM(W47:W48)</f>
        <v>20.5</v>
      </c>
      <c r="Z48" s="10"/>
      <c r="AA48" s="11"/>
      <c r="AB48" s="3"/>
      <c r="AD48" s="8" t="s">
        <v>112</v>
      </c>
      <c r="AE48" s="9">
        <v>1.86</v>
      </c>
      <c r="AF48" s="3"/>
      <c r="AH48" s="8" t="s">
        <v>100</v>
      </c>
      <c r="AI48" s="138">
        <v>59.31</v>
      </c>
      <c r="AJ48" s="3"/>
      <c r="AL48" s="8" t="s">
        <v>113</v>
      </c>
      <c r="AM48" s="9">
        <v>2.69</v>
      </c>
      <c r="AN48" s="3"/>
      <c r="AP48" s="8" t="s">
        <v>112</v>
      </c>
      <c r="AQ48" s="9">
        <v>1.86</v>
      </c>
      <c r="AR48" s="3"/>
      <c r="AT48" s="12" t="s">
        <v>57</v>
      </c>
      <c r="AU48" s="12" t="s">
        <v>90</v>
      </c>
    </row>
    <row r="49" spans="1:48" hidden="1" outlineLevel="1" x14ac:dyDescent="0.25">
      <c r="A49" s="5"/>
      <c r="B49" s="10"/>
      <c r="C49" s="11"/>
      <c r="F49" s="8" t="s">
        <v>112</v>
      </c>
      <c r="G49" s="9">
        <v>1.83</v>
      </c>
      <c r="H49" s="3">
        <f>SUM(G46:G49)</f>
        <v>13.709999999999999</v>
      </c>
      <c r="J49" s="8" t="s">
        <v>64</v>
      </c>
      <c r="K49" s="9">
        <v>4.25</v>
      </c>
      <c r="L49" s="3"/>
      <c r="N49" s="8" t="s">
        <v>98</v>
      </c>
      <c r="O49" s="9">
        <f>6.43+5.43</f>
        <v>11.86</v>
      </c>
      <c r="P49" s="3">
        <f>SUM(O47:O49)</f>
        <v>22.259999999999998</v>
      </c>
      <c r="R49" s="8" t="s">
        <v>61</v>
      </c>
      <c r="S49" s="9">
        <v>3.45</v>
      </c>
      <c r="T49" s="3">
        <f>SUM(S46:S49)</f>
        <v>13.850000000000001</v>
      </c>
      <c r="V49" s="7"/>
      <c r="W49" s="7"/>
      <c r="X49" s="3"/>
      <c r="Z49" s="12" t="s">
        <v>176</v>
      </c>
      <c r="AA49" s="13" t="s">
        <v>90</v>
      </c>
      <c r="AB49" s="3"/>
      <c r="AD49" s="8" t="s">
        <v>61</v>
      </c>
      <c r="AE49" s="9">
        <f>133.55*0.02703</f>
        <v>3.6098565000000002</v>
      </c>
      <c r="AH49" s="8" t="s">
        <v>2</v>
      </c>
      <c r="AI49" s="138">
        <v>17.59</v>
      </c>
      <c r="AJ49" s="3"/>
      <c r="AL49" s="8" t="s">
        <v>98</v>
      </c>
      <c r="AM49" s="9">
        <f>6.68+5.61</f>
        <v>12.29</v>
      </c>
      <c r="AN49" s="3">
        <f>SUM(AM47:AM49)</f>
        <v>24.4</v>
      </c>
      <c r="AP49" s="8" t="s">
        <v>61</v>
      </c>
      <c r="AQ49" s="9">
        <v>3.63</v>
      </c>
      <c r="AR49" s="3"/>
      <c r="AT49" s="8" t="s">
        <v>2</v>
      </c>
      <c r="AU49" s="9">
        <v>18.11</v>
      </c>
    </row>
    <row r="50" spans="1:48" hidden="1" outlineLevel="1" x14ac:dyDescent="0.25">
      <c r="A50" s="5"/>
      <c r="B50" s="12" t="s">
        <v>176</v>
      </c>
      <c r="C50" s="13" t="s">
        <v>90</v>
      </c>
      <c r="D50" s="3"/>
      <c r="F50" s="10"/>
      <c r="G50" s="11"/>
      <c r="J50" s="8" t="s">
        <v>127</v>
      </c>
      <c r="K50" s="9">
        <v>7.65</v>
      </c>
      <c r="N50" s="10"/>
      <c r="O50" s="11"/>
      <c r="P50" s="3"/>
      <c r="R50" s="10"/>
      <c r="S50" s="11"/>
      <c r="T50" s="3"/>
      <c r="V50" s="12" t="s">
        <v>58</v>
      </c>
      <c r="W50" s="12" t="s">
        <v>90</v>
      </c>
      <c r="Z50" s="8" t="s">
        <v>86</v>
      </c>
      <c r="AA50" s="9">
        <v>0.84</v>
      </c>
      <c r="AD50" s="8" t="s">
        <v>62</v>
      </c>
      <c r="AE50" s="9">
        <v>5.49</v>
      </c>
      <c r="AF50" s="3">
        <f>SUM(AE48:AE50)</f>
        <v>10.959856500000001</v>
      </c>
      <c r="AH50" s="8" t="s">
        <v>190</v>
      </c>
      <c r="AI50" s="9">
        <f>24.088*0.14</f>
        <v>3.3723200000000007</v>
      </c>
      <c r="AJ50" s="3">
        <f>SUM(AI48:AI50)</f>
        <v>80.272320000000008</v>
      </c>
      <c r="AL50" s="10"/>
      <c r="AM50" s="11"/>
      <c r="AN50" s="3"/>
      <c r="AP50" s="8" t="s">
        <v>62</v>
      </c>
      <c r="AQ50" s="9">
        <v>5.66</v>
      </c>
      <c r="AR50" s="3">
        <f>SUM(AQ48:AQ50)</f>
        <v>11.15</v>
      </c>
      <c r="AT50" s="8" t="s">
        <v>190</v>
      </c>
      <c r="AU50" s="9">
        <v>3.98</v>
      </c>
      <c r="AV50" s="3">
        <f>SUM(AU49:AU50)</f>
        <v>22.09</v>
      </c>
    </row>
    <row r="51" spans="1:48" hidden="1" outlineLevel="1" x14ac:dyDescent="0.25">
      <c r="A51" s="5"/>
      <c r="B51" s="8" t="s">
        <v>86</v>
      </c>
      <c r="C51" s="9">
        <v>0.84</v>
      </c>
      <c r="F51" s="12" t="s">
        <v>176</v>
      </c>
      <c r="G51" s="13" t="s">
        <v>90</v>
      </c>
      <c r="H51" s="3"/>
      <c r="J51" s="8" t="s">
        <v>85</v>
      </c>
      <c r="K51" s="9">
        <v>4.16</v>
      </c>
      <c r="N51" s="12" t="s">
        <v>176</v>
      </c>
      <c r="O51" s="13" t="s">
        <v>90</v>
      </c>
      <c r="P51" s="3"/>
      <c r="R51" s="12" t="s">
        <v>176</v>
      </c>
      <c r="S51" s="13" t="s">
        <v>90</v>
      </c>
      <c r="T51" s="3"/>
      <c r="V51" s="8" t="s">
        <v>64</v>
      </c>
      <c r="W51" s="9">
        <v>4.2699999999999996</v>
      </c>
      <c r="X51" s="3"/>
      <c r="Z51" s="7"/>
      <c r="AA51" s="7"/>
      <c r="AD51" s="10"/>
      <c r="AE51" s="11"/>
      <c r="AF51" s="3"/>
      <c r="AH51" s="7"/>
      <c r="AI51" s="7"/>
      <c r="AL51" s="12" t="s">
        <v>176</v>
      </c>
      <c r="AM51" s="13" t="s">
        <v>90</v>
      </c>
      <c r="AN51" s="3"/>
      <c r="AP51" s="10"/>
      <c r="AQ51" s="11"/>
      <c r="AR51" s="3"/>
      <c r="AT51" s="7"/>
      <c r="AU51" s="7"/>
    </row>
    <row r="52" spans="1:48" ht="15.75" hidden="1" outlineLevel="1" thickBot="1" x14ac:dyDescent="0.3">
      <c r="A52" s="5"/>
      <c r="B52" s="7"/>
      <c r="C52" s="7"/>
      <c r="F52" s="8" t="s">
        <v>86</v>
      </c>
      <c r="G52" s="9">
        <v>0.84</v>
      </c>
      <c r="J52" s="8" t="s">
        <v>6</v>
      </c>
      <c r="K52" s="9">
        <v>1.68</v>
      </c>
      <c r="N52" s="8" t="s">
        <v>86</v>
      </c>
      <c r="O52" s="9">
        <v>0.84</v>
      </c>
      <c r="R52" s="8" t="s">
        <v>86</v>
      </c>
      <c r="S52" s="9">
        <v>0.84</v>
      </c>
      <c r="V52" s="8" t="s">
        <v>127</v>
      </c>
      <c r="W52" s="9">
        <v>7.91</v>
      </c>
      <c r="Z52" s="14" t="s">
        <v>65</v>
      </c>
      <c r="AA52" s="15">
        <f>SUM(AA45:AA47)+SUM(AA41:AA42)+SUM(AA37:AA38)+AA50</f>
        <v>103.65847000000002</v>
      </c>
      <c r="AB52" s="3"/>
      <c r="AD52" s="12" t="s">
        <v>176</v>
      </c>
      <c r="AE52" s="13" t="s">
        <v>90</v>
      </c>
      <c r="AH52" s="12" t="s">
        <v>58</v>
      </c>
      <c r="AI52" s="12" t="s">
        <v>90</v>
      </c>
      <c r="AL52" s="8" t="s">
        <v>86</v>
      </c>
      <c r="AM52" s="9">
        <v>0.84</v>
      </c>
      <c r="AP52" s="12" t="s">
        <v>176</v>
      </c>
      <c r="AQ52" s="13" t="s">
        <v>90</v>
      </c>
      <c r="AR52" s="3"/>
      <c r="AT52" s="12" t="s">
        <v>58</v>
      </c>
      <c r="AU52" s="12" t="s">
        <v>90</v>
      </c>
    </row>
    <row r="53" spans="1:48" ht="15.75" hidden="1" outlineLevel="1" thickBot="1" x14ac:dyDescent="0.3">
      <c r="A53" s="5"/>
      <c r="B53" s="14" t="s">
        <v>65</v>
      </c>
      <c r="C53" s="15">
        <f>SUM(C46:C48)+SUM(C43:C43)+SUM(C37:C39)+C51</f>
        <v>77.42</v>
      </c>
      <c r="F53" s="7"/>
      <c r="G53" s="7"/>
      <c r="J53" s="8" t="s">
        <v>84</v>
      </c>
      <c r="K53" s="9">
        <v>4.72</v>
      </c>
      <c r="L53" s="3">
        <f>SUM(K49:K53)</f>
        <v>22.46</v>
      </c>
      <c r="N53" s="7"/>
      <c r="O53" s="7"/>
      <c r="R53" s="7"/>
      <c r="S53" s="7"/>
      <c r="V53" s="8" t="s">
        <v>85</v>
      </c>
      <c r="W53" s="9">
        <v>6.59</v>
      </c>
      <c r="AD53" s="8" t="s">
        <v>86</v>
      </c>
      <c r="AE53" s="9">
        <v>0.84</v>
      </c>
      <c r="AH53" s="8" t="s">
        <v>64</v>
      </c>
      <c r="AI53" s="9">
        <v>4.62</v>
      </c>
      <c r="AJ53" s="3"/>
      <c r="AL53" s="7"/>
      <c r="AM53" s="7"/>
      <c r="AP53" s="8" t="s">
        <v>86</v>
      </c>
      <c r="AQ53" s="9">
        <v>0.84</v>
      </c>
      <c r="AT53" s="8" t="s">
        <v>64</v>
      </c>
      <c r="AU53" s="9">
        <v>4.6500000000000004</v>
      </c>
      <c r="AV53" s="3"/>
    </row>
    <row r="54" spans="1:48" ht="15.75" hidden="1" outlineLevel="1" thickBot="1" x14ac:dyDescent="0.3">
      <c r="A54" s="5"/>
      <c r="F54" s="14" t="s">
        <v>65</v>
      </c>
      <c r="G54" s="15">
        <f>SUM(G46:G49)+SUM(G43)+SUM(G37:G40)+G52</f>
        <v>106.72</v>
      </c>
      <c r="J54" s="10"/>
      <c r="K54" s="11"/>
      <c r="N54" s="14" t="s">
        <v>65</v>
      </c>
      <c r="O54" s="15">
        <f>SUM(O47:O49)+SUM(O42:O44)+SUM(O37:O39)+O52</f>
        <v>142.94016000000002</v>
      </c>
      <c r="P54" s="3"/>
      <c r="R54" s="14" t="s">
        <v>65</v>
      </c>
      <c r="S54" s="15">
        <f>SUM(S46:S49)+SUM(S42:S43)+SUM(S37:S39)+S52</f>
        <v>83.170000000000016</v>
      </c>
      <c r="T54" s="3"/>
      <c r="V54" s="8" t="s">
        <v>6</v>
      </c>
      <c r="W54" s="9">
        <v>1.69</v>
      </c>
      <c r="X54" s="3">
        <f>SUM(W51:W54)</f>
        <v>20.46</v>
      </c>
      <c r="AD54" s="7"/>
      <c r="AE54" s="7"/>
      <c r="AF54" s="3"/>
      <c r="AH54" s="8" t="s">
        <v>127</v>
      </c>
      <c r="AI54" s="9">
        <v>7.96</v>
      </c>
      <c r="AJ54" s="3"/>
      <c r="AL54" s="14" t="s">
        <v>65</v>
      </c>
      <c r="AM54" s="15">
        <f>SUM(AM47:AM49)+SUM(AM42:AM44)+SUM(AM37:AM39)+AM52</f>
        <v>102.98032000000001</v>
      </c>
      <c r="AN54" s="3"/>
      <c r="AP54" s="7"/>
      <c r="AQ54" s="7"/>
      <c r="AT54" s="8" t="s">
        <v>127</v>
      </c>
      <c r="AU54" s="9">
        <v>8.01</v>
      </c>
      <c r="AV54" s="3"/>
    </row>
    <row r="55" spans="1:48" ht="15.75" hidden="1" outlineLevel="1" thickBot="1" x14ac:dyDescent="0.3">
      <c r="A55" s="5"/>
      <c r="D55" s="3"/>
      <c r="J55" s="12" t="s">
        <v>176</v>
      </c>
      <c r="K55" s="13" t="s">
        <v>90</v>
      </c>
      <c r="L55" s="3"/>
      <c r="V55" s="10"/>
      <c r="W55" s="11"/>
      <c r="AD55" s="14" t="s">
        <v>65</v>
      </c>
      <c r="AE55" s="15">
        <f>SUM(AE48:AE50)+SUM(AE44:AE45)+SUM(AE37:AE41)+AE53</f>
        <v>72.781376500000007</v>
      </c>
      <c r="AH55" s="8" t="s">
        <v>6</v>
      </c>
      <c r="AI55" s="9">
        <v>1.7</v>
      </c>
      <c r="AJ55" s="3"/>
      <c r="AP55" s="14" t="s">
        <v>65</v>
      </c>
      <c r="AQ55" s="15">
        <f>SUM(AQ48:AQ50)+SUM(AQ44:AQ45)+SUM(AQ37:AQ41)+AQ53</f>
        <v>104.26152</v>
      </c>
      <c r="AR55" s="3"/>
      <c r="AT55" s="8" t="s">
        <v>6</v>
      </c>
      <c r="AU55" s="9">
        <v>1.71</v>
      </c>
      <c r="AV55" s="3"/>
    </row>
    <row r="56" spans="1:48" hidden="1" outlineLevel="1" x14ac:dyDescent="0.25">
      <c r="A56" s="5"/>
      <c r="J56" s="8" t="s">
        <v>86</v>
      </c>
      <c r="K56" s="9">
        <v>0.84</v>
      </c>
      <c r="P56" s="3"/>
      <c r="V56" s="12" t="s">
        <v>176</v>
      </c>
      <c r="W56" s="13" t="s">
        <v>90</v>
      </c>
      <c r="X56" s="3"/>
      <c r="AH56" s="8" t="s">
        <v>85</v>
      </c>
      <c r="AI56" s="9">
        <v>6.65</v>
      </c>
      <c r="AJ56" s="3">
        <f>SUM(AI53:AI56)</f>
        <v>20.93</v>
      </c>
      <c r="AT56" s="8" t="s">
        <v>85</v>
      </c>
      <c r="AU56" s="9">
        <v>6.7</v>
      </c>
      <c r="AV56" s="3">
        <f>SUM(AU53:AU56)</f>
        <v>21.07</v>
      </c>
    </row>
    <row r="57" spans="1:48" hidden="1" outlineLevel="1" x14ac:dyDescent="0.25">
      <c r="A57" s="5"/>
      <c r="J57" s="7"/>
      <c r="K57" s="7"/>
      <c r="V57" s="8" t="s">
        <v>86</v>
      </c>
      <c r="W57" s="9">
        <v>0.84</v>
      </c>
      <c r="AH57" s="10"/>
      <c r="AI57" s="11"/>
      <c r="AJ57" s="3"/>
      <c r="AT57" s="10"/>
      <c r="AU57" s="11"/>
      <c r="AV57" s="3"/>
    </row>
    <row r="58" spans="1:48" ht="15.75" hidden="1" outlineLevel="1" thickBot="1" x14ac:dyDescent="0.3">
      <c r="A58" s="5"/>
      <c r="D58" s="3"/>
      <c r="J58" s="14" t="s">
        <v>65</v>
      </c>
      <c r="K58" s="15">
        <f>SUM(K49:K53)+SUM(K46)+SUM(K37:K43)+K56</f>
        <v>85.480950000000007</v>
      </c>
      <c r="V58" s="7"/>
      <c r="W58" s="7"/>
      <c r="AH58" s="12" t="s">
        <v>176</v>
      </c>
      <c r="AI58" s="13" t="s">
        <v>90</v>
      </c>
      <c r="AJ58" s="3"/>
      <c r="AT58" s="12" t="s">
        <v>176</v>
      </c>
      <c r="AU58" s="13" t="s">
        <v>90</v>
      </c>
      <c r="AV58" s="3"/>
    </row>
    <row r="59" spans="1:48" hidden="1" outlineLevel="1" x14ac:dyDescent="0.25">
      <c r="A59" s="5"/>
      <c r="V59" s="12" t="s">
        <v>136</v>
      </c>
      <c r="W59" s="13" t="s">
        <v>90</v>
      </c>
      <c r="AH59" s="8" t="s">
        <v>86</v>
      </c>
      <c r="AI59" s="9">
        <v>0.84</v>
      </c>
      <c r="AT59" s="8" t="s">
        <v>86</v>
      </c>
      <c r="AU59" s="9">
        <v>0.84</v>
      </c>
    </row>
    <row r="60" spans="1:48" hidden="1" outlineLevel="1" x14ac:dyDescent="0.25">
      <c r="A60" s="5"/>
      <c r="U60" s="156"/>
      <c r="V60" s="8"/>
      <c r="W60" s="9">
        <f>0.6*241</f>
        <v>144.6</v>
      </c>
      <c r="AH60" s="7"/>
      <c r="AI60" s="7"/>
      <c r="AT60" s="7"/>
      <c r="AU60" s="7"/>
    </row>
    <row r="61" spans="1:48" ht="15.75" hidden="1" outlineLevel="1" thickBot="1" x14ac:dyDescent="0.3">
      <c r="A61" s="5"/>
      <c r="V61" s="10"/>
      <c r="W61" s="11"/>
      <c r="X61" s="156"/>
      <c r="AH61" s="14" t="s">
        <v>65</v>
      </c>
      <c r="AI61" s="15">
        <f>SUM(AI53:AI56)+SUM(AI48:AI50)+SUM(AI37:AI45)+AI59</f>
        <v>232.52053599999999</v>
      </c>
      <c r="AJ61" s="3"/>
      <c r="AT61" s="14" t="s">
        <v>65</v>
      </c>
      <c r="AU61" s="15">
        <f>SUM(AU53:AU56)+SUM(AU50:AU50)+SUM(AU37:AU46)+AU59</f>
        <v>180.10000000000002</v>
      </c>
      <c r="AV61" s="3"/>
    </row>
    <row r="62" spans="1:48" hidden="1" outlineLevel="1" x14ac:dyDescent="0.25">
      <c r="A62" s="5"/>
      <c r="V62" s="8" t="s">
        <v>65</v>
      </c>
      <c r="W62" s="9">
        <f>SUM(W51:W54)+SUM(W47:W48)+SUM(W37:W44)+W57+W60</f>
        <v>255.95</v>
      </c>
    </row>
    <row r="63" spans="1:48" collapsed="1" x14ac:dyDescent="0.25">
      <c r="A63" s="5" t="s">
        <v>203</v>
      </c>
    </row>
    <row r="64" spans="1:48" x14ac:dyDescent="0.25">
      <c r="A64" s="5">
        <v>2017</v>
      </c>
    </row>
    <row r="65" spans="2:37" outlineLevel="1" x14ac:dyDescent="0.25">
      <c r="B65" s="292" t="s">
        <v>141</v>
      </c>
      <c r="C65" s="293"/>
      <c r="E65" s="288" t="s">
        <v>141</v>
      </c>
      <c r="F65" s="288"/>
      <c r="H65" s="288" t="s">
        <v>141</v>
      </c>
      <c r="I65" s="288"/>
      <c r="K65" s="288" t="s">
        <v>141</v>
      </c>
      <c r="L65" s="288"/>
      <c r="N65" s="288" t="s">
        <v>141</v>
      </c>
      <c r="O65" s="288"/>
      <c r="Q65" s="288" t="s">
        <v>141</v>
      </c>
      <c r="R65" s="288"/>
      <c r="T65" s="288" t="s">
        <v>141</v>
      </c>
      <c r="U65" s="288"/>
      <c r="W65" s="288" t="s">
        <v>141</v>
      </c>
      <c r="X65" s="288"/>
      <c r="Z65" s="288" t="s">
        <v>141</v>
      </c>
      <c r="AA65" s="288"/>
      <c r="AC65" s="288" t="s">
        <v>141</v>
      </c>
      <c r="AD65" s="288"/>
      <c r="AF65" s="288" t="s">
        <v>141</v>
      </c>
      <c r="AG65" s="288"/>
      <c r="AI65" s="288" t="s">
        <v>141</v>
      </c>
      <c r="AJ65" s="288"/>
    </row>
    <row r="66" spans="2:37" outlineLevel="1" x14ac:dyDescent="0.25">
      <c r="B66" s="289">
        <v>42736</v>
      </c>
      <c r="C66" s="290"/>
      <c r="E66" s="291">
        <v>42767</v>
      </c>
      <c r="F66" s="291"/>
      <c r="H66" s="291">
        <v>42795</v>
      </c>
      <c r="I66" s="291"/>
      <c r="K66" s="291">
        <v>42826</v>
      </c>
      <c r="L66" s="291"/>
      <c r="N66" s="291">
        <v>42856</v>
      </c>
      <c r="O66" s="291"/>
      <c r="Q66" s="291">
        <v>42887</v>
      </c>
      <c r="R66" s="291"/>
      <c r="T66" s="291">
        <v>42917</v>
      </c>
      <c r="U66" s="291"/>
      <c r="W66" s="291">
        <v>42948</v>
      </c>
      <c r="X66" s="291"/>
      <c r="Z66" s="291">
        <v>42979</v>
      </c>
      <c r="AA66" s="291"/>
      <c r="AC66" s="291">
        <v>43009</v>
      </c>
      <c r="AD66" s="291"/>
      <c r="AF66" s="291">
        <v>43040</v>
      </c>
      <c r="AG66" s="291"/>
      <c r="AI66" s="291">
        <v>43070</v>
      </c>
      <c r="AJ66" s="291"/>
    </row>
    <row r="67" spans="2:37" outlineLevel="1" x14ac:dyDescent="0.25">
      <c r="B67" s="12" t="s">
        <v>142</v>
      </c>
      <c r="C67" s="12" t="s">
        <v>90</v>
      </c>
      <c r="E67" s="12" t="s">
        <v>142</v>
      </c>
      <c r="F67" s="12" t="s">
        <v>90</v>
      </c>
      <c r="H67" s="12" t="s">
        <v>142</v>
      </c>
      <c r="I67" s="12" t="s">
        <v>90</v>
      </c>
      <c r="K67" s="12" t="s">
        <v>142</v>
      </c>
      <c r="L67" s="12" t="s">
        <v>90</v>
      </c>
      <c r="N67" s="12" t="s">
        <v>142</v>
      </c>
      <c r="O67" s="12" t="s">
        <v>90</v>
      </c>
      <c r="Q67" s="12" t="s">
        <v>142</v>
      </c>
      <c r="R67" s="12" t="s">
        <v>90</v>
      </c>
      <c r="T67" s="12" t="s">
        <v>142</v>
      </c>
      <c r="U67" s="12" t="s">
        <v>90</v>
      </c>
      <c r="W67" s="12" t="s">
        <v>142</v>
      </c>
      <c r="X67" s="12" t="s">
        <v>90</v>
      </c>
      <c r="Z67" s="12" t="s">
        <v>142</v>
      </c>
      <c r="AA67" s="12" t="s">
        <v>90</v>
      </c>
      <c r="AC67" s="12" t="s">
        <v>142</v>
      </c>
      <c r="AD67" s="12" t="s">
        <v>90</v>
      </c>
      <c r="AF67" s="12" t="s">
        <v>142</v>
      </c>
      <c r="AG67" s="12" t="s">
        <v>90</v>
      </c>
      <c r="AI67" s="12" t="s">
        <v>142</v>
      </c>
      <c r="AJ67" s="12" t="s">
        <v>90</v>
      </c>
    </row>
    <row r="68" spans="2:37" outlineLevel="1" x14ac:dyDescent="0.25">
      <c r="B68" s="8" t="s">
        <v>200</v>
      </c>
      <c r="C68" s="9">
        <v>0.15</v>
      </c>
      <c r="E68" s="8" t="s">
        <v>97</v>
      </c>
      <c r="F68" s="9">
        <v>13.86</v>
      </c>
      <c r="H68" s="8" t="s">
        <v>5</v>
      </c>
      <c r="I68" s="242">
        <v>42.87</v>
      </c>
      <c r="K68" s="245" t="s">
        <v>2</v>
      </c>
      <c r="L68" s="246">
        <v>9.4</v>
      </c>
      <c r="N68" s="245" t="s">
        <v>97</v>
      </c>
      <c r="O68" s="246">
        <v>13.94</v>
      </c>
      <c r="Q68" s="245" t="s">
        <v>5</v>
      </c>
      <c r="R68" s="246">
        <f>113.553*0.38</f>
        <v>43.15014</v>
      </c>
      <c r="T68" s="8" t="s">
        <v>185</v>
      </c>
      <c r="U68" s="9">
        <f>C69</f>
        <v>26.35</v>
      </c>
      <c r="W68" s="8" t="s">
        <v>97</v>
      </c>
      <c r="X68" s="9">
        <v>13.86</v>
      </c>
      <c r="Z68" s="8" t="s">
        <v>124</v>
      </c>
      <c r="AA68" s="9">
        <f>X70</f>
        <v>13.219771104000001</v>
      </c>
      <c r="AC68" s="8" t="s">
        <v>86</v>
      </c>
      <c r="AD68" s="9">
        <f>AA69</f>
        <v>23.710702999999999</v>
      </c>
      <c r="AF68" s="8" t="s">
        <v>86</v>
      </c>
      <c r="AG68" s="9">
        <f>AD68</f>
        <v>23.710702999999999</v>
      </c>
      <c r="AI68" s="8" t="s">
        <v>124</v>
      </c>
      <c r="AJ68" s="9">
        <f>AG69</f>
        <v>13.219771104000001</v>
      </c>
    </row>
    <row r="69" spans="2:37" outlineLevel="1" x14ac:dyDescent="0.25">
      <c r="B69" s="8" t="s">
        <v>185</v>
      </c>
      <c r="C69" s="9">
        <v>26.35</v>
      </c>
      <c r="E69" s="8" t="s">
        <v>86</v>
      </c>
      <c r="F69" s="9">
        <v>23.32</v>
      </c>
      <c r="H69" s="8" t="s">
        <v>86</v>
      </c>
      <c r="I69" s="242">
        <v>23.4</v>
      </c>
      <c r="K69" s="245" t="s">
        <v>86</v>
      </c>
      <c r="L69" s="246">
        <v>23.54</v>
      </c>
      <c r="N69" s="245" t="s">
        <v>86</v>
      </c>
      <c r="O69" s="246">
        <v>23.62</v>
      </c>
      <c r="Q69" s="245" t="s">
        <v>86</v>
      </c>
      <c r="R69" s="246">
        <f>112.373*0.211</f>
        <v>23.710702999999999</v>
      </c>
      <c r="T69" s="8" t="s">
        <v>86</v>
      </c>
      <c r="U69" s="9">
        <f>R69</f>
        <v>23.710702999999999</v>
      </c>
      <c r="W69" s="8" t="s">
        <v>86</v>
      </c>
      <c r="X69" s="9">
        <f>U69</f>
        <v>23.710702999999999</v>
      </c>
      <c r="Z69" s="8" t="s">
        <v>86</v>
      </c>
      <c r="AA69" s="9">
        <f>X69</f>
        <v>23.710702999999999</v>
      </c>
      <c r="AC69" s="8" t="s">
        <v>124</v>
      </c>
      <c r="AD69" s="9">
        <f>AA68</f>
        <v>13.219771104000001</v>
      </c>
      <c r="AF69" s="8" t="s">
        <v>124</v>
      </c>
      <c r="AG69" s="9">
        <f>AD69</f>
        <v>13.219771104000001</v>
      </c>
      <c r="AI69" s="8" t="s">
        <v>1</v>
      </c>
      <c r="AJ69" s="9">
        <f>AA70</f>
        <v>13.269696000000001</v>
      </c>
    </row>
    <row r="70" spans="2:37" outlineLevel="1" x14ac:dyDescent="0.25">
      <c r="B70" s="8" t="s">
        <v>86</v>
      </c>
      <c r="C70" s="9">
        <v>22.36</v>
      </c>
      <c r="E70" s="8" t="s">
        <v>124</v>
      </c>
      <c r="F70" s="9">
        <v>12.98</v>
      </c>
      <c r="H70" s="8" t="s">
        <v>200</v>
      </c>
      <c r="I70" s="242">
        <v>2.17</v>
      </c>
      <c r="K70" s="245" t="s">
        <v>185</v>
      </c>
      <c r="L70" s="246">
        <v>26.92</v>
      </c>
      <c r="N70" s="8" t="s">
        <v>187</v>
      </c>
      <c r="O70" s="9"/>
      <c r="Q70" s="245" t="s">
        <v>119</v>
      </c>
      <c r="R70" s="246">
        <f>12.313*0.28</f>
        <v>3.4476400000000007</v>
      </c>
      <c r="T70" s="8" t="s">
        <v>195</v>
      </c>
      <c r="U70" s="9">
        <f>R77</f>
        <v>36.676944999999996</v>
      </c>
      <c r="W70" s="8" t="s">
        <v>124</v>
      </c>
      <c r="X70" s="9">
        <f>U71</f>
        <v>13.219771104000001</v>
      </c>
      <c r="Z70" s="8" t="s">
        <v>1</v>
      </c>
      <c r="AA70" s="9">
        <f>R74</f>
        <v>13.269696000000001</v>
      </c>
      <c r="AC70" s="8" t="s">
        <v>185</v>
      </c>
      <c r="AD70" s="9">
        <f>0.48*53.709</f>
        <v>25.78032</v>
      </c>
      <c r="AF70" s="8" t="s">
        <v>119</v>
      </c>
      <c r="AG70" s="9">
        <f>12.184*0.28</f>
        <v>3.4115200000000003</v>
      </c>
      <c r="AI70" s="8" t="s">
        <v>86</v>
      </c>
      <c r="AJ70" s="9">
        <f>AG68</f>
        <v>23.710702999999999</v>
      </c>
    </row>
    <row r="71" spans="2:37" outlineLevel="1" x14ac:dyDescent="0.25">
      <c r="B71" s="8" t="s">
        <v>124</v>
      </c>
      <c r="C71" s="9">
        <v>12.82</v>
      </c>
      <c r="E71" s="8" t="s">
        <v>187</v>
      </c>
      <c r="F71" s="9">
        <v>49.71</v>
      </c>
      <c r="H71" s="8" t="s">
        <v>196</v>
      </c>
      <c r="I71" s="242">
        <v>25.59</v>
      </c>
      <c r="K71" s="245" t="s">
        <v>195</v>
      </c>
      <c r="L71" s="246">
        <v>14.57</v>
      </c>
      <c r="N71" s="245" t="s">
        <v>195</v>
      </c>
      <c r="O71" s="246">
        <v>14.64</v>
      </c>
      <c r="Q71" s="245" t="s">
        <v>196</v>
      </c>
      <c r="R71" s="246">
        <f>40.947*0.7</f>
        <v>28.6629</v>
      </c>
      <c r="T71" s="8" t="s">
        <v>124</v>
      </c>
      <c r="U71" s="9">
        <f>R73</f>
        <v>13.219771104000001</v>
      </c>
      <c r="V71" s="3">
        <f>SUM(U68:U71)</f>
        <v>99.95741910400001</v>
      </c>
      <c r="W71" s="8" t="s">
        <v>187</v>
      </c>
      <c r="X71" s="240">
        <v>48</v>
      </c>
      <c r="Z71" s="8" t="s">
        <v>196</v>
      </c>
      <c r="AA71" s="9">
        <f>R71</f>
        <v>28.6629</v>
      </c>
      <c r="AC71" s="8" t="s">
        <v>195</v>
      </c>
      <c r="AD71" s="239">
        <f>AA78</f>
        <v>36.676944999999996</v>
      </c>
      <c r="AE71" s="3">
        <f>SUM(AD69:AD71)</f>
        <v>75.677036103999995</v>
      </c>
      <c r="AF71" s="8" t="s">
        <v>97</v>
      </c>
      <c r="AG71" s="9">
        <v>13.78</v>
      </c>
      <c r="AI71" s="8" t="s">
        <v>196</v>
      </c>
      <c r="AJ71" s="9">
        <f>AA71</f>
        <v>28.6629</v>
      </c>
    </row>
    <row r="72" spans="2:37" outlineLevel="1" x14ac:dyDescent="0.25">
      <c r="B72" s="8" t="s">
        <v>195</v>
      </c>
      <c r="C72" s="9">
        <v>14.35</v>
      </c>
      <c r="D72" s="3">
        <f>SUM(C68:C72)</f>
        <v>76.03</v>
      </c>
      <c r="E72" s="8" t="s">
        <v>119</v>
      </c>
      <c r="F72" s="9">
        <v>3.44</v>
      </c>
      <c r="H72" s="8" t="s">
        <v>124</v>
      </c>
      <c r="I72" s="242">
        <v>13.04</v>
      </c>
      <c r="K72" s="245" t="s">
        <v>124</v>
      </c>
      <c r="L72" s="246">
        <v>13.1</v>
      </c>
      <c r="M72" s="3">
        <f>SUM(L68:L72)</f>
        <v>87.53</v>
      </c>
      <c r="N72" s="245" t="s">
        <v>124</v>
      </c>
      <c r="O72" s="246">
        <v>13.16</v>
      </c>
      <c r="P72" s="3">
        <f>SUM(O68:O72)</f>
        <v>65.36</v>
      </c>
      <c r="Q72" s="245" t="s">
        <v>260</v>
      </c>
      <c r="R72" s="246">
        <f>111*0.94</f>
        <v>104.33999999999999</v>
      </c>
      <c r="T72" s="7"/>
      <c r="U72" s="7"/>
      <c r="W72" s="8" t="s">
        <v>119</v>
      </c>
      <c r="X72" s="9">
        <v>3.44</v>
      </c>
      <c r="Z72" s="8" t="s">
        <v>260</v>
      </c>
      <c r="AA72" s="9">
        <f>111*0.94</f>
        <v>104.33999999999999</v>
      </c>
      <c r="AC72" s="7"/>
      <c r="AD72" s="7"/>
      <c r="AF72" s="8" t="s">
        <v>187</v>
      </c>
      <c r="AG72" s="9">
        <v>48.29</v>
      </c>
      <c r="AI72" s="8" t="s">
        <v>260</v>
      </c>
      <c r="AJ72" s="9">
        <f>111*0.94</f>
        <v>104.33999999999999</v>
      </c>
    </row>
    <row r="73" spans="2:37" outlineLevel="1" x14ac:dyDescent="0.25">
      <c r="B73" s="7"/>
      <c r="C73" s="7"/>
      <c r="E73" s="8" t="s">
        <v>195</v>
      </c>
      <c r="F73" s="9">
        <v>14.42</v>
      </c>
      <c r="G73" s="3">
        <f>SUM(F68:F73)</f>
        <v>117.73</v>
      </c>
      <c r="H73" s="8" t="s">
        <v>1</v>
      </c>
      <c r="I73" s="242">
        <v>13.19</v>
      </c>
      <c r="K73" s="7"/>
      <c r="L73" s="7"/>
      <c r="N73" s="7"/>
      <c r="O73" s="7"/>
      <c r="Q73" s="245" t="s">
        <v>124</v>
      </c>
      <c r="R73" s="246">
        <f>113.312*0.116667</f>
        <v>13.219771104000001</v>
      </c>
      <c r="T73" s="12" t="s">
        <v>57</v>
      </c>
      <c r="U73" s="12" t="s">
        <v>90</v>
      </c>
      <c r="W73" s="8" t="s">
        <v>195</v>
      </c>
      <c r="X73" s="9">
        <f>U70</f>
        <v>36.676944999999996</v>
      </c>
      <c r="Y73" s="3">
        <f>SUM(X68:X73)</f>
        <v>138.90741910399998</v>
      </c>
      <c r="Z73" s="8" t="s">
        <v>4</v>
      </c>
      <c r="AA73" s="9">
        <f>16.688*0.29</f>
        <v>4.8395199999999994</v>
      </c>
      <c r="AC73" s="12" t="s">
        <v>57</v>
      </c>
      <c r="AD73" s="12" t="s">
        <v>90</v>
      </c>
      <c r="AF73" s="8" t="s">
        <v>195</v>
      </c>
      <c r="AG73" s="239">
        <f>AD71</f>
        <v>36.676944999999996</v>
      </c>
      <c r="AH73" s="3">
        <f>SUM(AG69:AG73)</f>
        <v>115.378236104</v>
      </c>
      <c r="AI73" s="9" t="s">
        <v>4</v>
      </c>
      <c r="AJ73" s="9">
        <f>16.688*0.29</f>
        <v>4.8395199999999994</v>
      </c>
      <c r="AK73" s="136"/>
    </row>
    <row r="74" spans="2:37" outlineLevel="1" x14ac:dyDescent="0.25">
      <c r="B74" s="12" t="s">
        <v>57</v>
      </c>
      <c r="C74" s="12" t="s">
        <v>90</v>
      </c>
      <c r="E74" s="7"/>
      <c r="F74" s="7"/>
      <c r="H74" s="8" t="s">
        <v>67</v>
      </c>
      <c r="I74" s="242">
        <f>16.949*2.42/4</f>
        <v>10.254145000000001</v>
      </c>
      <c r="K74" s="12" t="s">
        <v>57</v>
      </c>
      <c r="L74" s="12" t="s">
        <v>90</v>
      </c>
      <c r="N74" s="12" t="s">
        <v>57</v>
      </c>
      <c r="O74" s="12" t="s">
        <v>90</v>
      </c>
      <c r="Q74" s="245" t="s">
        <v>1</v>
      </c>
      <c r="R74" s="246">
        <f>21.472*0.618</f>
        <v>13.269696000000001</v>
      </c>
      <c r="T74" s="8" t="s">
        <v>254</v>
      </c>
      <c r="U74" s="163">
        <f>0.42*70</f>
        <v>29.4</v>
      </c>
      <c r="W74" s="7"/>
      <c r="X74" s="7"/>
      <c r="Z74" s="8" t="s">
        <v>5</v>
      </c>
      <c r="AA74" s="9">
        <f>0.38*111.136</f>
        <v>42.231679999999997</v>
      </c>
      <c r="AC74" s="8" t="s">
        <v>254</v>
      </c>
      <c r="AD74" s="163">
        <f>0.42*70</f>
        <v>29.4</v>
      </c>
      <c r="AF74" s="7"/>
      <c r="AG74" s="7"/>
      <c r="AI74" s="9" t="s">
        <v>5</v>
      </c>
      <c r="AJ74" s="9">
        <f>111.136*0.38</f>
        <v>42.231679999999997</v>
      </c>
      <c r="AK74" s="136"/>
    </row>
    <row r="75" spans="2:37" outlineLevel="1" x14ac:dyDescent="0.25">
      <c r="B75" s="137" t="s">
        <v>83</v>
      </c>
      <c r="C75" s="163">
        <v>26.08</v>
      </c>
      <c r="E75" s="12" t="s">
        <v>57</v>
      </c>
      <c r="F75" s="12" t="s">
        <v>90</v>
      </c>
      <c r="H75" s="8" t="s">
        <v>4</v>
      </c>
      <c r="I75" s="242">
        <v>3.43</v>
      </c>
      <c r="K75" s="245" t="s">
        <v>254</v>
      </c>
      <c r="L75" s="247">
        <f>0.42*70</f>
        <v>29.4</v>
      </c>
      <c r="N75" s="137" t="s">
        <v>100</v>
      </c>
      <c r="O75" s="138"/>
      <c r="P75" s="3">
        <f>SUM(O75:O75)</f>
        <v>0</v>
      </c>
      <c r="Q75" s="245" t="s">
        <v>4</v>
      </c>
      <c r="R75" s="246">
        <v>3.49</v>
      </c>
      <c r="T75" s="8" t="s">
        <v>83</v>
      </c>
      <c r="U75" s="163">
        <v>26.28</v>
      </c>
      <c r="V75" s="3"/>
      <c r="W75" s="12"/>
      <c r="X75" s="12"/>
      <c r="Y75" s="3"/>
      <c r="Z75" s="8" t="s">
        <v>67</v>
      </c>
      <c r="AA75" s="9">
        <f>16.755*0.55</f>
        <v>9.2152500000000011</v>
      </c>
      <c r="AC75" s="8" t="s">
        <v>83</v>
      </c>
      <c r="AD75" s="163">
        <v>26.28</v>
      </c>
      <c r="AE75" s="3"/>
      <c r="AF75" s="12" t="s">
        <v>57</v>
      </c>
      <c r="AG75" s="12" t="s">
        <v>90</v>
      </c>
      <c r="AI75" s="9" t="s">
        <v>67</v>
      </c>
      <c r="AJ75" s="9">
        <f>16.755*0.55</f>
        <v>9.2152500000000011</v>
      </c>
      <c r="AK75" s="136"/>
    </row>
    <row r="76" spans="2:37" outlineLevel="1" x14ac:dyDescent="0.25">
      <c r="B76" s="8" t="s">
        <v>114</v>
      </c>
      <c r="C76" s="9">
        <v>19.09</v>
      </c>
      <c r="D76" s="3">
        <f>SUM(C75:C76)</f>
        <v>45.17</v>
      </c>
      <c r="E76" s="137"/>
      <c r="F76" s="138"/>
      <c r="G76" s="3">
        <f>SUM(F76:F76)</f>
        <v>0</v>
      </c>
      <c r="H76" s="8" t="s">
        <v>195</v>
      </c>
      <c r="I76" s="242">
        <v>14.49</v>
      </c>
      <c r="J76" s="3">
        <f>SUM(I68:I76)</f>
        <v>148.434145</v>
      </c>
      <c r="K76" s="245" t="s">
        <v>83</v>
      </c>
      <c r="L76" s="247">
        <v>26.28</v>
      </c>
      <c r="M76" s="3"/>
      <c r="N76" s="7"/>
      <c r="O76" s="7"/>
      <c r="Q76" s="245" t="s">
        <v>67</v>
      </c>
      <c r="R76" s="246">
        <f>0.605*17.047</f>
        <v>10.313435</v>
      </c>
      <c r="T76" s="8" t="s">
        <v>114</v>
      </c>
      <c r="U76" s="9">
        <v>19.09</v>
      </c>
      <c r="W76" s="8"/>
      <c r="X76" s="9"/>
      <c r="Z76" s="8" t="s">
        <v>200</v>
      </c>
      <c r="AA76" s="9">
        <f>0.59+0.39</f>
        <v>0.98</v>
      </c>
      <c r="AC76" s="8" t="s">
        <v>212</v>
      </c>
      <c r="AD76" s="9">
        <v>0.55000000000000004</v>
      </c>
      <c r="AE76" s="3"/>
      <c r="AF76" s="8"/>
      <c r="AG76" s="9"/>
      <c r="AH76" s="3"/>
      <c r="AI76" s="8" t="s">
        <v>195</v>
      </c>
      <c r="AJ76" s="9">
        <f>AG73</f>
        <v>36.676944999999996</v>
      </c>
      <c r="AK76" s="3">
        <f>SUM(AJ68:AJ76)</f>
        <v>276.166465104</v>
      </c>
    </row>
    <row r="77" spans="2:37" outlineLevel="1" x14ac:dyDescent="0.25">
      <c r="B77" s="7"/>
      <c r="C77" s="7"/>
      <c r="E77" s="7"/>
      <c r="F77" s="7"/>
      <c r="G77" s="3"/>
      <c r="H77" s="7"/>
      <c r="I77" s="7"/>
      <c r="K77" s="245" t="s">
        <v>2</v>
      </c>
      <c r="L77" s="246">
        <v>18.55</v>
      </c>
      <c r="N77" s="12" t="s">
        <v>58</v>
      </c>
      <c r="O77" s="12" t="s">
        <v>90</v>
      </c>
      <c r="Q77" s="245" t="s">
        <v>195</v>
      </c>
      <c r="R77" s="246">
        <f>0.185*79.497+21.97</f>
        <v>36.676944999999996</v>
      </c>
      <c r="T77" s="8" t="s">
        <v>252</v>
      </c>
      <c r="U77" s="163">
        <f>0.995*65</f>
        <v>64.674999999999997</v>
      </c>
      <c r="V77" s="3">
        <f>SUM(U74:U77)</f>
        <v>139.44499999999999</v>
      </c>
      <c r="W77" s="8"/>
      <c r="X77" s="9"/>
      <c r="Y77" s="3"/>
      <c r="Z77" s="8" t="s">
        <v>2</v>
      </c>
      <c r="AA77" s="9">
        <v>8.91</v>
      </c>
      <c r="AC77" s="8"/>
      <c r="AD77" s="9"/>
      <c r="AF77" s="8"/>
      <c r="AG77" s="9"/>
      <c r="AH77" s="3">
        <f>SUM(AG76:AG77)</f>
        <v>0</v>
      </c>
      <c r="AI77" s="7"/>
      <c r="AJ77" s="7"/>
    </row>
    <row r="78" spans="2:37" outlineLevel="1" x14ac:dyDescent="0.25">
      <c r="B78" s="12" t="s">
        <v>58</v>
      </c>
      <c r="C78" s="12" t="s">
        <v>90</v>
      </c>
      <c r="D78" s="3"/>
      <c r="E78" s="12" t="s">
        <v>58</v>
      </c>
      <c r="F78" s="12" t="s">
        <v>90</v>
      </c>
      <c r="H78" s="12" t="s">
        <v>57</v>
      </c>
      <c r="I78" s="12" t="s">
        <v>90</v>
      </c>
      <c r="K78" s="245" t="s">
        <v>212</v>
      </c>
      <c r="L78" s="246">
        <f>1.98-0.16</f>
        <v>1.82</v>
      </c>
      <c r="N78" s="245" t="s">
        <v>62</v>
      </c>
      <c r="O78" s="246">
        <v>5.77</v>
      </c>
      <c r="P78" s="3"/>
      <c r="Q78" s="245" t="s">
        <v>2</v>
      </c>
      <c r="R78" s="246">
        <v>9.68</v>
      </c>
      <c r="S78" s="3">
        <f>SUM(R68:R78)</f>
        <v>289.96123010399998</v>
      </c>
      <c r="T78" s="7"/>
      <c r="U78" s="7"/>
      <c r="W78" s="7"/>
      <c r="X78" s="7"/>
      <c r="Z78" s="8" t="s">
        <v>195</v>
      </c>
      <c r="AA78" s="9">
        <f>X73</f>
        <v>36.676944999999996</v>
      </c>
      <c r="AB78" s="3">
        <f>SUM(AA68:AA78)</f>
        <v>286.05646510399998</v>
      </c>
      <c r="AC78" s="8" t="s">
        <v>252</v>
      </c>
      <c r="AD78" s="163">
        <f>0.995*65</f>
        <v>64.674999999999997</v>
      </c>
      <c r="AE78" s="3">
        <f>SUM(AD74:AD78)</f>
        <v>120.905</v>
      </c>
      <c r="AF78" s="7"/>
      <c r="AG78" s="7"/>
      <c r="AI78" s="12" t="s">
        <v>57</v>
      </c>
      <c r="AJ78" s="12" t="s">
        <v>90</v>
      </c>
    </row>
    <row r="79" spans="2:37" outlineLevel="1" x14ac:dyDescent="0.25">
      <c r="B79" s="8" t="s">
        <v>60</v>
      </c>
      <c r="C79" s="9">
        <v>9.5</v>
      </c>
      <c r="E79" s="8" t="s">
        <v>62</v>
      </c>
      <c r="F79" s="9">
        <v>5.71</v>
      </c>
      <c r="G79" s="3"/>
      <c r="H79" s="8" t="s">
        <v>100</v>
      </c>
      <c r="I79" s="243">
        <v>91.17</v>
      </c>
      <c r="J79" s="3">
        <f>SUM(I79:I79)</f>
        <v>91.17</v>
      </c>
      <c r="K79" s="245" t="s">
        <v>252</v>
      </c>
      <c r="L79" s="246">
        <f>0.995*65</f>
        <v>64.674999999999997</v>
      </c>
      <c r="M79" s="3">
        <f>SUM(L75:L79)</f>
        <v>140.72499999999999</v>
      </c>
      <c r="N79" s="8" t="s">
        <v>66</v>
      </c>
      <c r="O79" s="9">
        <v>3.12</v>
      </c>
      <c r="P79" s="3"/>
      <c r="Q79" s="7"/>
      <c r="R79" s="7"/>
      <c r="T79" s="12" t="s">
        <v>58</v>
      </c>
      <c r="U79" s="12" t="s">
        <v>90</v>
      </c>
      <c r="W79" s="12" t="s">
        <v>58</v>
      </c>
      <c r="X79" s="12" t="s">
        <v>90</v>
      </c>
      <c r="Y79" s="3"/>
      <c r="Z79" s="7"/>
      <c r="AA79" s="7"/>
      <c r="AC79" s="7"/>
      <c r="AD79" s="7"/>
      <c r="AF79" s="12" t="s">
        <v>58</v>
      </c>
      <c r="AG79" s="12" t="s">
        <v>90</v>
      </c>
      <c r="AI79" s="8" t="s">
        <v>83</v>
      </c>
      <c r="AJ79" s="9"/>
      <c r="AK79" s="3"/>
    </row>
    <row r="80" spans="2:37" outlineLevel="1" x14ac:dyDescent="0.25">
      <c r="B80" s="8" t="s">
        <v>113</v>
      </c>
      <c r="C80" s="9">
        <v>2.7</v>
      </c>
      <c r="E80" s="8" t="s">
        <v>66</v>
      </c>
      <c r="F80" s="9"/>
      <c r="H80" s="7"/>
      <c r="I80" s="7"/>
      <c r="J80" s="3"/>
      <c r="K80" s="7"/>
      <c r="L80" s="7"/>
      <c r="N80" s="245" t="s">
        <v>112</v>
      </c>
      <c r="O80" s="246">
        <v>2.12</v>
      </c>
      <c r="P80" s="3"/>
      <c r="Q80" s="12" t="s">
        <v>57</v>
      </c>
      <c r="R80" s="12" t="s">
        <v>90</v>
      </c>
      <c r="T80" s="8" t="s">
        <v>60</v>
      </c>
      <c r="U80" s="9">
        <f>L82</f>
        <v>9.58</v>
      </c>
      <c r="V80" s="3"/>
      <c r="W80" s="8" t="s">
        <v>112</v>
      </c>
      <c r="X80" s="9">
        <v>1.86</v>
      </c>
      <c r="Y80" s="3"/>
      <c r="Z80" s="12" t="s">
        <v>57</v>
      </c>
      <c r="AA80" s="12" t="s">
        <v>90</v>
      </c>
      <c r="AC80" s="12" t="s">
        <v>58</v>
      </c>
      <c r="AD80" s="12" t="s">
        <v>90</v>
      </c>
      <c r="AF80" s="8" t="s">
        <v>112</v>
      </c>
      <c r="AG80" s="9">
        <f>0.029774*62.47</f>
        <v>1.8599817799999998</v>
      </c>
      <c r="AH80" s="3"/>
      <c r="AI80" s="8" t="s">
        <v>190</v>
      </c>
      <c r="AJ80" s="9">
        <v>3.37</v>
      </c>
      <c r="AK80" s="3">
        <f>SUM(AJ79:AJ80)</f>
        <v>3.37</v>
      </c>
    </row>
    <row r="81" spans="1:37" outlineLevel="1" x14ac:dyDescent="0.25">
      <c r="B81" s="8" t="s">
        <v>98</v>
      </c>
      <c r="C81" s="9">
        <f>12.61+5.65</f>
        <v>18.259999999999998</v>
      </c>
      <c r="D81" s="3">
        <f>SUM(C79:C81)</f>
        <v>30.459999999999997</v>
      </c>
      <c r="E81" s="8" t="s">
        <v>61</v>
      </c>
      <c r="F81" s="9">
        <v>3.65</v>
      </c>
      <c r="H81" s="12" t="s">
        <v>58</v>
      </c>
      <c r="I81" s="12" t="s">
        <v>90</v>
      </c>
      <c r="K81" s="12" t="s">
        <v>58</v>
      </c>
      <c r="L81" s="12" t="s">
        <v>90</v>
      </c>
      <c r="N81" s="245" t="s">
        <v>61</v>
      </c>
      <c r="O81" s="246">
        <v>3.68</v>
      </c>
      <c r="P81" s="3">
        <f>SUM(O78:O81)</f>
        <v>14.690000000000001</v>
      </c>
      <c r="Q81" s="245" t="s">
        <v>2</v>
      </c>
      <c r="R81" s="246">
        <v>19.11</v>
      </c>
      <c r="S81" s="3">
        <f>SUM(R81:R81)</f>
        <v>19.11</v>
      </c>
      <c r="T81" s="8" t="s">
        <v>113</v>
      </c>
      <c r="U81" s="9">
        <v>2.7</v>
      </c>
      <c r="V81" s="3"/>
      <c r="W81" s="8" t="s">
        <v>61</v>
      </c>
      <c r="X81" s="9">
        <f>133.55*0.02703</f>
        <v>3.6098565000000002</v>
      </c>
      <c r="Z81" s="8" t="s">
        <v>100</v>
      </c>
      <c r="AA81" s="138">
        <f>113.96*0.8</f>
        <v>91.168000000000006</v>
      </c>
      <c r="AB81" s="3"/>
      <c r="AC81" s="8" t="s">
        <v>60</v>
      </c>
      <c r="AD81" s="9">
        <f>U80</f>
        <v>9.58</v>
      </c>
      <c r="AE81" s="3"/>
      <c r="AF81" s="8" t="s">
        <v>61</v>
      </c>
      <c r="AG81" s="9">
        <v>3.63</v>
      </c>
      <c r="AH81" s="3"/>
      <c r="AI81" s="7"/>
      <c r="AJ81" s="7"/>
    </row>
    <row r="82" spans="1:37" outlineLevel="1" x14ac:dyDescent="0.25">
      <c r="B82" s="10"/>
      <c r="C82" s="11"/>
      <c r="E82" s="8" t="s">
        <v>112</v>
      </c>
      <c r="F82" s="9">
        <v>2.11</v>
      </c>
      <c r="G82" s="3">
        <f>SUM(F79:F82)</f>
        <v>11.469999999999999</v>
      </c>
      <c r="H82" s="8" t="s">
        <v>64</v>
      </c>
      <c r="I82" s="242">
        <v>4.68</v>
      </c>
      <c r="J82" s="3"/>
      <c r="K82" s="245" t="s">
        <v>60</v>
      </c>
      <c r="L82" s="246">
        <v>9.58</v>
      </c>
      <c r="M82" s="3"/>
      <c r="N82" s="10"/>
      <c r="O82" s="11"/>
      <c r="P82" s="3"/>
      <c r="Q82" s="7"/>
      <c r="R82" s="7"/>
      <c r="T82" s="8" t="s">
        <v>98</v>
      </c>
      <c r="U82" s="9">
        <f>L84</f>
        <v>18.45</v>
      </c>
      <c r="V82" s="3">
        <f>SUM(U80:U82)</f>
        <v>30.73</v>
      </c>
      <c r="W82" s="8" t="s">
        <v>62</v>
      </c>
      <c r="X82" s="9">
        <v>5.71</v>
      </c>
      <c r="Y82" s="3">
        <f>SUM(X80:X82)</f>
        <v>11.1798565</v>
      </c>
      <c r="Z82" s="8" t="s">
        <v>2</v>
      </c>
      <c r="AA82" s="138">
        <v>17.59</v>
      </c>
      <c r="AB82" s="3"/>
      <c r="AC82" s="8" t="s">
        <v>113</v>
      </c>
      <c r="AD82" s="9">
        <v>2.7</v>
      </c>
      <c r="AE82" s="3"/>
      <c r="AF82" s="8" t="s">
        <v>62</v>
      </c>
      <c r="AG82" s="9">
        <v>5.71</v>
      </c>
      <c r="AH82" s="3">
        <f>SUM(AG80:AG82)</f>
        <v>11.19998178</v>
      </c>
      <c r="AI82" s="12" t="s">
        <v>58</v>
      </c>
      <c r="AJ82" s="12" t="s">
        <v>90</v>
      </c>
    </row>
    <row r="83" spans="1:37" outlineLevel="1" x14ac:dyDescent="0.25">
      <c r="B83" s="12" t="s">
        <v>176</v>
      </c>
      <c r="C83" s="13" t="s">
        <v>90</v>
      </c>
      <c r="D83" s="3"/>
      <c r="E83" s="10"/>
      <c r="F83" s="11"/>
      <c r="H83" s="8" t="s">
        <v>127</v>
      </c>
      <c r="I83" s="242">
        <v>8.06</v>
      </c>
      <c r="K83" s="245" t="s">
        <v>113</v>
      </c>
      <c r="L83" s="246">
        <v>2.97</v>
      </c>
      <c r="M83" s="3"/>
      <c r="N83" s="12" t="s">
        <v>176</v>
      </c>
      <c r="O83" s="13" t="s">
        <v>90</v>
      </c>
      <c r="P83" s="3"/>
      <c r="Q83" s="12" t="s">
        <v>58</v>
      </c>
      <c r="R83" s="12" t="s">
        <v>90</v>
      </c>
      <c r="S83" s="3"/>
      <c r="T83" s="10"/>
      <c r="U83" s="11"/>
      <c r="V83" s="3"/>
      <c r="W83" s="10"/>
      <c r="X83" s="11"/>
      <c r="Y83" s="3"/>
      <c r="Z83" s="8" t="s">
        <v>190</v>
      </c>
      <c r="AA83" s="9">
        <f>24.088*0.14</f>
        <v>3.3723200000000007</v>
      </c>
      <c r="AB83" s="3">
        <f>SUM(AA81:AA83)</f>
        <v>112.13032000000001</v>
      </c>
      <c r="AC83" s="8" t="s">
        <v>98</v>
      </c>
      <c r="AD83" s="9">
        <f>U82</f>
        <v>18.45</v>
      </c>
      <c r="AE83" s="3">
        <f>SUM(AD81:AD83)</f>
        <v>30.73</v>
      </c>
      <c r="AF83" s="10"/>
      <c r="AG83" s="11"/>
      <c r="AH83" s="3"/>
      <c r="AI83" s="8"/>
      <c r="AJ83" s="9"/>
      <c r="AK83" s="3"/>
    </row>
    <row r="84" spans="1:37" outlineLevel="1" x14ac:dyDescent="0.25">
      <c r="B84" s="8" t="s">
        <v>86</v>
      </c>
      <c r="C84" s="9">
        <v>0.84</v>
      </c>
      <c r="E84" s="12" t="s">
        <v>176</v>
      </c>
      <c r="F84" s="13" t="s">
        <v>90</v>
      </c>
      <c r="G84" s="3"/>
      <c r="H84" s="8" t="s">
        <v>85</v>
      </c>
      <c r="I84" s="242">
        <v>6.76</v>
      </c>
      <c r="K84" s="245" t="s">
        <v>98</v>
      </c>
      <c r="L84" s="246">
        <f>12.75+5.7</f>
        <v>18.45</v>
      </c>
      <c r="M84" s="3">
        <f>SUM(L82:L84)</f>
        <v>31</v>
      </c>
      <c r="N84" s="8" t="s">
        <v>86</v>
      </c>
      <c r="O84" s="9">
        <v>0.84</v>
      </c>
      <c r="Q84" s="8" t="s">
        <v>64</v>
      </c>
      <c r="R84" s="246">
        <v>4.71</v>
      </c>
      <c r="T84" s="12" t="s">
        <v>176</v>
      </c>
      <c r="U84" s="13" t="s">
        <v>90</v>
      </c>
      <c r="V84" s="3"/>
      <c r="W84" s="12" t="s">
        <v>176</v>
      </c>
      <c r="X84" s="13" t="s">
        <v>90</v>
      </c>
      <c r="Z84" s="7"/>
      <c r="AA84" s="7"/>
      <c r="AC84" s="10"/>
      <c r="AD84" s="11"/>
      <c r="AE84" s="3"/>
      <c r="AF84" s="12" t="s">
        <v>176</v>
      </c>
      <c r="AG84" s="13" t="s">
        <v>90</v>
      </c>
      <c r="AH84" s="3"/>
      <c r="AI84" s="8"/>
      <c r="AJ84" s="9"/>
      <c r="AK84" s="3"/>
    </row>
    <row r="85" spans="1:37" outlineLevel="1" x14ac:dyDescent="0.25">
      <c r="B85" s="7"/>
      <c r="C85" s="7"/>
      <c r="E85" s="8" t="s">
        <v>86</v>
      </c>
      <c r="F85" s="9">
        <v>0.84</v>
      </c>
      <c r="H85" s="8" t="s">
        <v>6</v>
      </c>
      <c r="I85" s="242">
        <v>1.78</v>
      </c>
      <c r="J85" s="3">
        <f>SUM(I82:I85)</f>
        <v>21.28</v>
      </c>
      <c r="K85" s="10"/>
      <c r="L85" s="11"/>
      <c r="M85" s="3"/>
      <c r="N85" s="7"/>
      <c r="O85" s="7"/>
      <c r="Q85" s="8" t="s">
        <v>127</v>
      </c>
      <c r="R85" s="246">
        <v>8.32</v>
      </c>
      <c r="T85" s="8" t="s">
        <v>86</v>
      </c>
      <c r="U85" s="9">
        <v>0.84</v>
      </c>
      <c r="W85" s="8" t="s">
        <v>86</v>
      </c>
      <c r="X85" s="9">
        <v>0.84</v>
      </c>
      <c r="Z85" s="12" t="s">
        <v>58</v>
      </c>
      <c r="AA85" s="12" t="s">
        <v>90</v>
      </c>
      <c r="AC85" s="12" t="s">
        <v>176</v>
      </c>
      <c r="AD85" s="13" t="s">
        <v>90</v>
      </c>
      <c r="AE85" s="3"/>
      <c r="AF85" s="8" t="s">
        <v>86</v>
      </c>
      <c r="AG85" s="9">
        <v>0.84</v>
      </c>
      <c r="AI85" s="8"/>
      <c r="AJ85" s="9"/>
      <c r="AK85" s="3">
        <f>SUM(AJ83:AJ85)</f>
        <v>0</v>
      </c>
    </row>
    <row r="86" spans="1:37" ht="15.75" outlineLevel="1" thickBot="1" x14ac:dyDescent="0.3">
      <c r="B86" s="14" t="s">
        <v>65</v>
      </c>
      <c r="C86" s="15">
        <f>SUM(C79:C81)+SUM(C76:C76)+SUM(C69:C72)+C84</f>
        <v>126.27</v>
      </c>
      <c r="E86" s="7"/>
      <c r="F86" s="7"/>
      <c r="H86" s="10"/>
      <c r="I86" s="11"/>
      <c r="K86" s="12" t="s">
        <v>176</v>
      </c>
      <c r="L86" s="13" t="s">
        <v>90</v>
      </c>
      <c r="M86" s="3"/>
      <c r="N86" s="14" t="s">
        <v>65</v>
      </c>
      <c r="O86" s="15">
        <f>SUM(O78:O81)+SUM(O75:O75)+SUM(O68:O72)+O84</f>
        <v>80.89</v>
      </c>
      <c r="P86" s="3"/>
      <c r="Q86" s="8" t="s">
        <v>85</v>
      </c>
      <c r="R86" s="246">
        <v>7.3</v>
      </c>
      <c r="T86" s="7"/>
      <c r="U86" s="7"/>
      <c r="W86" s="7"/>
      <c r="X86" s="7"/>
      <c r="Y86" s="3"/>
      <c r="Z86" s="8" t="s">
        <v>64</v>
      </c>
      <c r="AA86" s="9">
        <v>4.62</v>
      </c>
      <c r="AB86" s="3"/>
      <c r="AC86" s="8" t="s">
        <v>86</v>
      </c>
      <c r="AD86" s="9">
        <v>0.84</v>
      </c>
      <c r="AF86" s="7"/>
      <c r="AG86" s="7"/>
      <c r="AI86" s="10"/>
      <c r="AJ86" s="11"/>
      <c r="AK86" s="3"/>
    </row>
    <row r="87" spans="1:37" ht="15.75" outlineLevel="1" thickBot="1" x14ac:dyDescent="0.3">
      <c r="E87" s="14" t="s">
        <v>65</v>
      </c>
      <c r="F87" s="15">
        <f>SUM(F79:F82)+SUM(F76)+SUM(F68:F73)+F85</f>
        <v>130.04</v>
      </c>
      <c r="H87" s="12" t="s">
        <v>176</v>
      </c>
      <c r="I87" s="13" t="s">
        <v>90</v>
      </c>
      <c r="K87" s="8" t="s">
        <v>86</v>
      </c>
      <c r="L87" s="9">
        <v>0.84</v>
      </c>
      <c r="Q87" s="8" t="s">
        <v>6</v>
      </c>
      <c r="R87" s="246">
        <v>1.69</v>
      </c>
      <c r="S87" s="3">
        <f>SUM(R84:R87)</f>
        <v>22.020000000000003</v>
      </c>
      <c r="T87" s="14" t="s">
        <v>65</v>
      </c>
      <c r="U87" s="15">
        <f>SUM(U80:U82)+SUM(U74:U77)+SUM(U68:U71)+U85</f>
        <v>270.97241910399998</v>
      </c>
      <c r="V87" s="3"/>
      <c r="W87" s="14" t="s">
        <v>65</v>
      </c>
      <c r="X87" s="15">
        <f>SUM(X80:X82)+SUM(X76:X77)+SUM(X68:X73)+X85</f>
        <v>150.92727560399999</v>
      </c>
      <c r="Z87" s="8" t="s">
        <v>127</v>
      </c>
      <c r="AA87" s="9">
        <v>7.96</v>
      </c>
      <c r="AB87" s="3"/>
      <c r="AC87" s="7"/>
      <c r="AD87" s="7"/>
      <c r="AF87" s="14" t="s">
        <v>65</v>
      </c>
      <c r="AG87" s="15">
        <f>SUM(AG80:AG82)+SUM(AG76:AG77)+SUM(AG69:AG73)+AG85</f>
        <v>127.418217884</v>
      </c>
      <c r="AH87" s="3"/>
      <c r="AI87" s="12" t="s">
        <v>176</v>
      </c>
      <c r="AJ87" s="13" t="s">
        <v>90</v>
      </c>
      <c r="AK87" s="3"/>
    </row>
    <row r="88" spans="1:37" ht="15.75" outlineLevel="1" thickBot="1" x14ac:dyDescent="0.3">
      <c r="H88" s="8" t="s">
        <v>86</v>
      </c>
      <c r="I88" s="9">
        <v>0.84</v>
      </c>
      <c r="J88" s="3"/>
      <c r="K88" s="7"/>
      <c r="L88" s="7"/>
      <c r="Q88" s="10"/>
      <c r="R88" s="11"/>
      <c r="S88" s="3"/>
      <c r="Z88" s="8" t="s">
        <v>6</v>
      </c>
      <c r="AA88" s="9">
        <v>1.7</v>
      </c>
      <c r="AB88" s="3"/>
      <c r="AC88" s="14" t="s">
        <v>65</v>
      </c>
      <c r="AD88" s="15">
        <f>SUM(AD81:AD83)+SUM(AD74:AD78)+SUM(AD69:AD71)+AD86</f>
        <v>228.15203610399999</v>
      </c>
      <c r="AE88" s="3"/>
      <c r="AI88" s="8" t="s">
        <v>86</v>
      </c>
      <c r="AJ88" s="9">
        <v>0.84</v>
      </c>
    </row>
    <row r="89" spans="1:37" ht="15.75" outlineLevel="1" thickBot="1" x14ac:dyDescent="0.3">
      <c r="H89" s="7"/>
      <c r="I89" s="7"/>
      <c r="K89" s="14" t="s">
        <v>65</v>
      </c>
      <c r="L89" s="15">
        <f>SUM(L82:L84)+SUM(L75:L79)+SUM(L68:L72)+L87</f>
        <v>260.09499999999997</v>
      </c>
      <c r="M89" s="3"/>
      <c r="Q89" s="12" t="s">
        <v>176</v>
      </c>
      <c r="R89" s="13" t="s">
        <v>90</v>
      </c>
      <c r="Z89" s="8" t="s">
        <v>85</v>
      </c>
      <c r="AA89" s="9">
        <v>6.65</v>
      </c>
      <c r="AB89" s="3">
        <f>SUM(AA86:AA89)</f>
        <v>20.93</v>
      </c>
      <c r="AI89" s="7"/>
      <c r="AJ89" s="7"/>
    </row>
    <row r="90" spans="1:37" ht="15.75" outlineLevel="1" thickBot="1" x14ac:dyDescent="0.3">
      <c r="H90" s="12" t="s">
        <v>176</v>
      </c>
      <c r="I90" s="13" t="s">
        <v>90</v>
      </c>
      <c r="K90" s="12" t="s">
        <v>176</v>
      </c>
      <c r="L90" s="13" t="s">
        <v>90</v>
      </c>
      <c r="M90" s="3"/>
      <c r="Q90" s="8" t="s">
        <v>86</v>
      </c>
      <c r="R90" s="9">
        <v>0.84</v>
      </c>
      <c r="Z90" s="10"/>
      <c r="AA90" s="11"/>
      <c r="AB90" s="3"/>
      <c r="AI90" s="14" t="s">
        <v>65</v>
      </c>
      <c r="AJ90" s="15">
        <f>SUM(AJ83:AJ85)+SUM(AJ79:AJ80)+SUM(AJ68:AJ76)+AJ88</f>
        <v>280.37646510399998</v>
      </c>
      <c r="AK90" s="3"/>
    </row>
    <row r="91" spans="1:37" outlineLevel="1" x14ac:dyDescent="0.25">
      <c r="H91" s="8" t="s">
        <v>136</v>
      </c>
      <c r="I91" s="9">
        <f>240*0.6</f>
        <v>144</v>
      </c>
      <c r="Q91" s="7"/>
      <c r="R91" s="7"/>
      <c r="Z91" s="12" t="s">
        <v>176</v>
      </c>
      <c r="AA91" s="13" t="s">
        <v>90</v>
      </c>
      <c r="AB91" s="3"/>
    </row>
    <row r="92" spans="1:37" outlineLevel="1" x14ac:dyDescent="0.25">
      <c r="N92" s="135"/>
      <c r="O92" s="135"/>
      <c r="P92" s="135"/>
      <c r="Q92" s="12" t="s">
        <v>136</v>
      </c>
      <c r="R92" s="13" t="s">
        <v>90</v>
      </c>
      <c r="Z92" s="8" t="s">
        <v>86</v>
      </c>
      <c r="AA92" s="9">
        <v>0.84</v>
      </c>
    </row>
    <row r="93" spans="1:37" ht="15.75" outlineLevel="1" thickBot="1" x14ac:dyDescent="0.3">
      <c r="H93" s="14" t="s">
        <v>65</v>
      </c>
      <c r="I93" s="241">
        <f>SUM(I82:I85)+SUM(I79:I79)+SUM(I68:I76)+I88+I91</f>
        <v>405.72414499999996</v>
      </c>
      <c r="N93" s="135"/>
      <c r="O93" s="136"/>
      <c r="P93" s="135"/>
      <c r="Q93" s="8"/>
      <c r="R93" s="9">
        <f>0.6*241</f>
        <v>144.6</v>
      </c>
      <c r="S93" s="156"/>
      <c r="Z93" s="7"/>
      <c r="AA93" s="7"/>
    </row>
    <row r="94" spans="1:37" ht="15.75" outlineLevel="1" thickBot="1" x14ac:dyDescent="0.3">
      <c r="N94" s="135"/>
      <c r="O94" s="135"/>
      <c r="P94" s="135"/>
      <c r="Q94" s="10"/>
      <c r="R94" s="11"/>
      <c r="Z94" s="14" t="s">
        <v>65</v>
      </c>
      <c r="AA94" s="15">
        <f>SUM(AA86:AA89)+SUM(AA81:AA83)+SUM(AA68:AA78)+AA92</f>
        <v>419.95678510399995</v>
      </c>
      <c r="AB94" s="3"/>
    </row>
    <row r="95" spans="1:37" outlineLevel="1" x14ac:dyDescent="0.25">
      <c r="M95" s="156"/>
      <c r="N95" s="135"/>
      <c r="O95" s="136"/>
      <c r="P95" s="135"/>
      <c r="Q95" s="8" t="s">
        <v>65</v>
      </c>
      <c r="R95" s="9">
        <f>SUM(R84:R87)+SUM(R81:R81)+SUM(R68:R78)+R90+R93</f>
        <v>476.53123010399997</v>
      </c>
    </row>
    <row r="96" spans="1:37" x14ac:dyDescent="0.25">
      <c r="A96" t="s">
        <v>255</v>
      </c>
      <c r="M96" s="156"/>
      <c r="P96" s="156"/>
      <c r="Q96" s="135"/>
      <c r="R96" s="135"/>
      <c r="S96" s="135"/>
    </row>
    <row r="97" spans="1:40" x14ac:dyDescent="0.25">
      <c r="A97" s="5">
        <v>2018</v>
      </c>
      <c r="B97" s="5"/>
      <c r="C97" s="5"/>
      <c r="D97" s="5"/>
      <c r="N97" s="288" t="s">
        <v>141</v>
      </c>
      <c r="O97" s="288"/>
      <c r="Q97" s="288" t="s">
        <v>141</v>
      </c>
      <c r="R97" s="288"/>
      <c r="T97" s="135"/>
    </row>
    <row r="98" spans="1:40" outlineLevel="1" x14ac:dyDescent="0.25">
      <c r="E98" s="292" t="s">
        <v>141</v>
      </c>
      <c r="F98" s="293"/>
      <c r="H98" s="288" t="s">
        <v>141</v>
      </c>
      <c r="I98" s="288"/>
      <c r="K98" s="288" t="s">
        <v>141</v>
      </c>
      <c r="L98" s="288"/>
      <c r="N98" s="291">
        <v>43191</v>
      </c>
      <c r="O98" s="291"/>
      <c r="Q98" s="291">
        <v>43221</v>
      </c>
      <c r="R98" s="291"/>
      <c r="T98" s="288" t="s">
        <v>141</v>
      </c>
      <c r="U98" s="288"/>
      <c r="W98" s="288" t="s">
        <v>141</v>
      </c>
      <c r="X98" s="288"/>
      <c r="Z98" s="288" t="s">
        <v>141</v>
      </c>
      <c r="AA98" s="288"/>
      <c r="AC98" s="288" t="s">
        <v>141</v>
      </c>
      <c r="AD98" s="288"/>
      <c r="AF98" s="288" t="s">
        <v>141</v>
      </c>
      <c r="AG98" s="288"/>
      <c r="AI98" s="288" t="s">
        <v>141</v>
      </c>
      <c r="AJ98" s="288"/>
      <c r="AL98" s="288" t="s">
        <v>141</v>
      </c>
      <c r="AM98" s="288"/>
    </row>
    <row r="99" spans="1:40" outlineLevel="1" x14ac:dyDescent="0.25">
      <c r="E99" s="289">
        <v>43101</v>
      </c>
      <c r="F99" s="290"/>
      <c r="H99" s="291">
        <v>43132</v>
      </c>
      <c r="I99" s="291"/>
      <c r="K99" s="291">
        <v>43160</v>
      </c>
      <c r="L99" s="291"/>
      <c r="N99" s="12" t="s">
        <v>142</v>
      </c>
      <c r="O99" s="12" t="s">
        <v>90</v>
      </c>
      <c r="Q99" s="12" t="s">
        <v>142</v>
      </c>
      <c r="R99" s="12" t="s">
        <v>90</v>
      </c>
      <c r="T99" s="291">
        <v>43252</v>
      </c>
      <c r="U99" s="291"/>
      <c r="W99" s="291">
        <v>43282</v>
      </c>
      <c r="X99" s="291"/>
      <c r="Z99" s="291">
        <v>43313</v>
      </c>
      <c r="AA99" s="291"/>
      <c r="AC99" s="291">
        <v>43344</v>
      </c>
      <c r="AD99" s="291"/>
      <c r="AF99" s="291">
        <v>43374</v>
      </c>
      <c r="AG99" s="291"/>
      <c r="AI99" s="291">
        <v>43405</v>
      </c>
      <c r="AJ99" s="291"/>
      <c r="AL99" s="291">
        <v>43435</v>
      </c>
      <c r="AM99" s="291"/>
    </row>
    <row r="100" spans="1:40" outlineLevel="1" x14ac:dyDescent="0.25">
      <c r="E100" s="12" t="s">
        <v>142</v>
      </c>
      <c r="F100" s="12" t="s">
        <v>90</v>
      </c>
      <c r="H100" s="12" t="s">
        <v>142</v>
      </c>
      <c r="I100" s="12" t="s">
        <v>90</v>
      </c>
      <c r="K100" s="12" t="s">
        <v>142</v>
      </c>
      <c r="L100" s="12" t="s">
        <v>90</v>
      </c>
      <c r="N100" s="8" t="s">
        <v>2</v>
      </c>
      <c r="O100" s="9">
        <f>'Portfolio Formatted'!O11/4</f>
        <v>9.9824999999999999</v>
      </c>
      <c r="Q100" s="8" t="s">
        <v>97</v>
      </c>
      <c r="R100" s="9">
        <f>'Portfolio Formatted'!O14/4</f>
        <v>14.02525</v>
      </c>
      <c r="T100" s="12" t="s">
        <v>142</v>
      </c>
      <c r="U100" s="12" t="s">
        <v>90</v>
      </c>
      <c r="W100" s="12" t="s">
        <v>142</v>
      </c>
      <c r="X100" s="12" t="s">
        <v>90</v>
      </c>
      <c r="Z100" s="12" t="s">
        <v>142</v>
      </c>
      <c r="AA100" s="12" t="s">
        <v>90</v>
      </c>
      <c r="AC100" s="12" t="s">
        <v>142</v>
      </c>
      <c r="AD100" s="12" t="s">
        <v>90</v>
      </c>
      <c r="AF100" s="12" t="s">
        <v>142</v>
      </c>
      <c r="AG100" s="12" t="s">
        <v>90</v>
      </c>
      <c r="AI100" s="12" t="s">
        <v>142</v>
      </c>
      <c r="AJ100" s="12" t="s">
        <v>90</v>
      </c>
      <c r="AL100" s="12" t="s">
        <v>142</v>
      </c>
      <c r="AM100" s="12" t="s">
        <v>90</v>
      </c>
    </row>
    <row r="101" spans="1:40" outlineLevel="1" x14ac:dyDescent="0.25">
      <c r="A101" t="s">
        <v>257</v>
      </c>
      <c r="E101" s="8" t="s">
        <v>200</v>
      </c>
      <c r="F101" s="9">
        <f>'Portfolio Formatted'!O9/4</f>
        <v>3.7699299999999996</v>
      </c>
      <c r="H101" s="8" t="s">
        <v>97</v>
      </c>
      <c r="I101" s="9">
        <f>'Portfolio Formatted'!O14/4</f>
        <v>14.02525</v>
      </c>
      <c r="K101" s="8" t="s">
        <v>5</v>
      </c>
      <c r="L101" s="9">
        <f>'Portfolio Formatted'!O30/4</f>
        <v>43.461739999999999</v>
      </c>
      <c r="N101" s="8" t="s">
        <v>200</v>
      </c>
      <c r="O101" s="9">
        <f>'Portfolio Formatted'!O9/4</f>
        <v>3.7699299999999996</v>
      </c>
      <c r="Q101" s="8" t="s">
        <v>86</v>
      </c>
      <c r="R101" s="9">
        <f>'Portfolio Formatted'!O16/12</f>
        <v>23.856565499999999</v>
      </c>
      <c r="T101" s="8" t="s">
        <v>5</v>
      </c>
      <c r="U101" s="9">
        <f>'Portfolio Formatted'!O30/4</f>
        <v>43.461739999999999</v>
      </c>
      <c r="W101" s="8" t="s">
        <v>185</v>
      </c>
      <c r="X101" s="9">
        <f>'Portfolio Formatted'!O26/4</f>
        <v>27.486720000000002</v>
      </c>
      <c r="Z101" s="8" t="s">
        <v>97</v>
      </c>
      <c r="AA101" s="9">
        <f>'Portfolio Formatted'!O14/4</f>
        <v>14.02525</v>
      </c>
      <c r="AC101" s="8" t="s">
        <v>124</v>
      </c>
      <c r="AD101" s="9">
        <f>'Portfolio Formatted'!O25/12</f>
        <v>13.368679999999998</v>
      </c>
      <c r="AF101" s="8" t="s">
        <v>86</v>
      </c>
      <c r="AG101" s="9">
        <f>'Portfolio Formatted'!O16/12</f>
        <v>23.856565499999999</v>
      </c>
      <c r="AI101" s="8" t="s">
        <v>86</v>
      </c>
      <c r="AJ101" s="9">
        <f>'Portfolio Formatted'!O16/12</f>
        <v>23.856565499999999</v>
      </c>
      <c r="AL101" s="8" t="s">
        <v>200</v>
      </c>
      <c r="AM101" s="9">
        <f>'Portfolio Formatted'!O9/4</f>
        <v>3.7699299999999996</v>
      </c>
    </row>
    <row r="102" spans="1:40" outlineLevel="1" x14ac:dyDescent="0.25">
      <c r="A102" t="s">
        <v>7</v>
      </c>
      <c r="B102" s="3">
        <f>G105+J106+M109+P105+S104+V111+Y104+AB106+AE111+AH104+AK106+AN111</f>
        <v>1927.4083139999996</v>
      </c>
      <c r="C102" s="3"/>
      <c r="E102" s="8" t="s">
        <v>185</v>
      </c>
      <c r="F102" s="9">
        <f>'Portfolio Formatted'!O26/4</f>
        <v>27.486720000000002</v>
      </c>
      <c r="H102" s="8" t="s">
        <v>86</v>
      </c>
      <c r="I102" s="9">
        <f>'Portfolio Formatted'!O16/12</f>
        <v>23.856565499999999</v>
      </c>
      <c r="K102" s="8" t="s">
        <v>86</v>
      </c>
      <c r="L102" s="9">
        <f>'Portfolio Formatted'!O16/12</f>
        <v>23.856565499999999</v>
      </c>
      <c r="N102" s="8" t="s">
        <v>86</v>
      </c>
      <c r="O102" s="9">
        <f>'Portfolio Formatted'!O16/12</f>
        <v>23.856565499999999</v>
      </c>
      <c r="Q102" s="8" t="s">
        <v>187</v>
      </c>
      <c r="R102" s="9">
        <f>'Portfolio Formatted'!O23/4</f>
        <v>50.761900000000004</v>
      </c>
      <c r="T102" s="8" t="s">
        <v>86</v>
      </c>
      <c r="U102" s="9">
        <f>'Portfolio Formatted'!O16/12</f>
        <v>23.856565499999999</v>
      </c>
      <c r="W102" s="8" t="s">
        <v>86</v>
      </c>
      <c r="X102" s="9">
        <f>'Portfolio Formatted'!O16/12</f>
        <v>23.856565499999999</v>
      </c>
      <c r="Z102" s="8" t="s">
        <v>86</v>
      </c>
      <c r="AA102" s="9">
        <f>'Portfolio Formatted'!O16/12</f>
        <v>23.856565499999999</v>
      </c>
      <c r="AC102" s="8" t="s">
        <v>86</v>
      </c>
      <c r="AD102" s="9">
        <f>'Portfolio Formatted'!O16/12</f>
        <v>23.856565499999999</v>
      </c>
      <c r="AF102" s="8" t="s">
        <v>124</v>
      </c>
      <c r="AG102" s="9">
        <f>'Portfolio Formatted'!O25/12</f>
        <v>13.368679999999998</v>
      </c>
      <c r="AI102" s="8" t="s">
        <v>124</v>
      </c>
      <c r="AJ102" s="9">
        <f>'Portfolio Formatted'!O25/12</f>
        <v>13.368679999999998</v>
      </c>
      <c r="AL102" s="8" t="s">
        <v>124</v>
      </c>
      <c r="AM102" s="9">
        <f>'Portfolio Formatted'!O25/12</f>
        <v>13.368679999999998</v>
      </c>
    </row>
    <row r="103" spans="1:40" outlineLevel="1" x14ac:dyDescent="0.25">
      <c r="A103" t="s">
        <v>8</v>
      </c>
      <c r="B103" s="3">
        <f>G111+J109+M112+P112+S108+V115+Y110+AB110+AE116+AH111+AK110+AN115</f>
        <v>858.11511999999993</v>
      </c>
      <c r="C103" s="3"/>
      <c r="E103" s="8" t="s">
        <v>86</v>
      </c>
      <c r="F103" s="9">
        <f>'Portfolio Formatted'!O16/12</f>
        <v>23.856565499999999</v>
      </c>
      <c r="H103" s="8" t="s">
        <v>124</v>
      </c>
      <c r="I103" s="9">
        <f>'Portfolio Formatted'!O25/12</f>
        <v>13.368679999999998</v>
      </c>
      <c r="K103" s="8" t="s">
        <v>196</v>
      </c>
      <c r="L103" s="9">
        <f>'Portfolio Formatted'!O20/4</f>
        <v>28.921899999999997</v>
      </c>
      <c r="N103" s="8" t="s">
        <v>185</v>
      </c>
      <c r="O103" s="9">
        <f>'Portfolio Formatted'!O26/4</f>
        <v>27.486720000000002</v>
      </c>
      <c r="Q103" s="8" t="s">
        <v>195</v>
      </c>
      <c r="R103" s="9">
        <f>O104</f>
        <v>14.882695</v>
      </c>
      <c r="T103" s="8" t="s">
        <v>119</v>
      </c>
      <c r="U103" s="9">
        <f>'Portfolio Formatted'!O28/4</f>
        <v>3.4566000000000003</v>
      </c>
      <c r="W103" s="8" t="s">
        <v>195</v>
      </c>
      <c r="X103" s="9">
        <f>R103</f>
        <v>14.882695</v>
      </c>
      <c r="Z103" s="8" t="s">
        <v>124</v>
      </c>
      <c r="AA103" s="9">
        <f>'Portfolio Formatted'!O25/12</f>
        <v>13.368679999999998</v>
      </c>
      <c r="AC103" s="8" t="s">
        <v>1</v>
      </c>
      <c r="AD103" s="9">
        <f>'Portfolio Formatted'!O10/4</f>
        <v>13.342001999999999</v>
      </c>
      <c r="AF103" s="8" t="s">
        <v>185</v>
      </c>
      <c r="AG103" s="9">
        <f>'Portfolio Formatted'!O26/4</f>
        <v>27.486720000000002</v>
      </c>
      <c r="AI103" s="8" t="s">
        <v>119</v>
      </c>
      <c r="AJ103" s="9">
        <f>'Portfolio Formatted'!O28/4</f>
        <v>3.4566000000000003</v>
      </c>
      <c r="AL103" s="8" t="s">
        <v>1</v>
      </c>
      <c r="AM103" s="9">
        <f>'Portfolio Formatted'!O10/4</f>
        <v>13.342001999999999</v>
      </c>
    </row>
    <row r="104" spans="1:40" outlineLevel="1" x14ac:dyDescent="0.25">
      <c r="A104" t="s">
        <v>58</v>
      </c>
      <c r="B104" s="3">
        <f>G116+J115+M118+P117+S114+V121+Y115+AB115+AE122+AH116+AK115+AN120</f>
        <v>315.61503316879993</v>
      </c>
      <c r="C104" s="3"/>
      <c r="E104" s="8" t="s">
        <v>124</v>
      </c>
      <c r="F104" s="9">
        <f>'Portfolio Formatted'!O25/12</f>
        <v>13.368679999999998</v>
      </c>
      <c r="H104" s="8" t="s">
        <v>187</v>
      </c>
      <c r="I104" s="9">
        <f>'Portfolio Formatted'!O23/4</f>
        <v>50.761900000000004</v>
      </c>
      <c r="K104" s="8" t="s">
        <v>260</v>
      </c>
      <c r="L104" s="9">
        <f>111*0.94</f>
        <v>104.33999999999999</v>
      </c>
      <c r="N104" s="8" t="s">
        <v>195</v>
      </c>
      <c r="O104" s="9">
        <f>L109</f>
        <v>14.882695</v>
      </c>
      <c r="Q104" s="8" t="s">
        <v>124</v>
      </c>
      <c r="R104" s="9">
        <f>'Portfolio Formatted'!O25/12</f>
        <v>13.368679999999998</v>
      </c>
      <c r="S104" s="3">
        <f>SUM(R100:R104)</f>
        <v>116.89509050000001</v>
      </c>
      <c r="T104" s="8" t="s">
        <v>196</v>
      </c>
      <c r="U104" s="9">
        <f>'Portfolio Formatted'!O20/4</f>
        <v>28.921899999999997</v>
      </c>
      <c r="W104" s="8" t="s">
        <v>124</v>
      </c>
      <c r="X104" s="9">
        <f>'Portfolio Formatted'!O25/12</f>
        <v>13.368679999999998</v>
      </c>
      <c r="Y104" s="3">
        <f>SUM(X101:X104)</f>
        <v>79.594660500000003</v>
      </c>
      <c r="Z104" s="8" t="s">
        <v>187</v>
      </c>
      <c r="AA104" s="240">
        <f>'Portfolio Formatted'!O23/4</f>
        <v>50.761900000000004</v>
      </c>
      <c r="AC104" s="8" t="s">
        <v>196</v>
      </c>
      <c r="AD104" s="9">
        <f>'Portfolio Formatted'!O20/4</f>
        <v>28.921899999999997</v>
      </c>
      <c r="AF104" s="8" t="s">
        <v>195</v>
      </c>
      <c r="AG104" s="239">
        <f>AD111</f>
        <v>14.882695</v>
      </c>
      <c r="AH104" s="3">
        <f>SUM(AG101:AG104)</f>
        <v>79.594660500000003</v>
      </c>
      <c r="AI104" s="8" t="s">
        <v>97</v>
      </c>
      <c r="AJ104" s="9">
        <f>'Portfolio Formatted'!O14/4</f>
        <v>14.02525</v>
      </c>
      <c r="AL104" s="8" t="s">
        <v>86</v>
      </c>
      <c r="AM104" s="9">
        <f>'Portfolio Formatted'!O16/12</f>
        <v>23.856565499999999</v>
      </c>
    </row>
    <row r="105" spans="1:40" outlineLevel="1" x14ac:dyDescent="0.25">
      <c r="A105" t="s">
        <v>176</v>
      </c>
      <c r="B105" s="3">
        <f>F119+I118+L121+O120+R117+U124+X118+AA118+AD125+AG119+AJ118+AM123</f>
        <v>10.08</v>
      </c>
      <c r="C105" s="3"/>
      <c r="E105" s="8" t="s">
        <v>195</v>
      </c>
      <c r="F105" s="9">
        <f>'Portfolio Formatted'!H19*0.185</f>
        <v>14.882695</v>
      </c>
      <c r="G105" s="3">
        <f>SUM(F101:F105)</f>
        <v>83.364590499999991</v>
      </c>
      <c r="H105" s="8" t="s">
        <v>119</v>
      </c>
      <c r="I105" s="9">
        <f>'Portfolio Formatted'!O28/4</f>
        <v>3.4566000000000003</v>
      </c>
      <c r="K105" s="8" t="s">
        <v>124</v>
      </c>
      <c r="L105" s="9">
        <f>'Portfolio Formatted'!O25/12</f>
        <v>13.368679999999998</v>
      </c>
      <c r="N105" s="8" t="s">
        <v>124</v>
      </c>
      <c r="O105" s="9">
        <f>'Portfolio Formatted'!O25/12</f>
        <v>13.368679999999998</v>
      </c>
      <c r="P105" s="3">
        <f>SUM(O100:O105)</f>
        <v>93.347090499999993</v>
      </c>
      <c r="Q105" s="7"/>
      <c r="R105" s="7"/>
      <c r="T105" s="8" t="s">
        <v>260</v>
      </c>
      <c r="U105" s="9">
        <f>111*0.94</f>
        <v>104.33999999999999</v>
      </c>
      <c r="W105" s="7"/>
      <c r="X105" s="7"/>
      <c r="Z105" s="8" t="s">
        <v>119</v>
      </c>
      <c r="AA105" s="9">
        <f>'Portfolio Formatted'!O28/4</f>
        <v>3.4566000000000003</v>
      </c>
      <c r="AC105" s="8" t="s">
        <v>260</v>
      </c>
      <c r="AD105" s="9">
        <f>111*0.94</f>
        <v>104.33999999999999</v>
      </c>
      <c r="AF105" s="7"/>
      <c r="AG105" s="7"/>
      <c r="AI105" s="8" t="s">
        <v>187</v>
      </c>
      <c r="AJ105" s="9">
        <f>'Portfolio Formatted'!O23/4</f>
        <v>50.761900000000004</v>
      </c>
      <c r="AL105" s="8" t="s">
        <v>196</v>
      </c>
      <c r="AM105" s="9">
        <f>'Portfolio Formatted'!O20/4</f>
        <v>28.921899999999997</v>
      </c>
    </row>
    <row r="106" spans="1:40" outlineLevel="1" x14ac:dyDescent="0.25">
      <c r="A106" t="s">
        <v>136</v>
      </c>
      <c r="B106" s="3">
        <f>L124+U127+AD128+AM126</f>
        <v>578.4</v>
      </c>
      <c r="C106" s="3"/>
      <c r="E106" s="7"/>
      <c r="F106" s="7"/>
      <c r="H106" s="8" t="s">
        <v>195</v>
      </c>
      <c r="I106" s="9">
        <f>F105</f>
        <v>14.882695</v>
      </c>
      <c r="J106" s="3">
        <f>SUM(I101:I106)</f>
        <v>120.35169049999999</v>
      </c>
      <c r="K106" s="8" t="s">
        <v>1</v>
      </c>
      <c r="L106" s="9">
        <f>'Portfolio Formatted'!O10/4</f>
        <v>13.342001999999999</v>
      </c>
      <c r="N106" s="7"/>
      <c r="O106" s="7"/>
      <c r="Q106" s="12" t="s">
        <v>57</v>
      </c>
      <c r="R106" s="12" t="s">
        <v>90</v>
      </c>
      <c r="T106" s="8" t="s">
        <v>124</v>
      </c>
      <c r="U106" s="9">
        <f>'Portfolio Formatted'!O25/12</f>
        <v>13.368679999999998</v>
      </c>
      <c r="W106" s="12" t="s">
        <v>57</v>
      </c>
      <c r="X106" s="12" t="s">
        <v>90</v>
      </c>
      <c r="Z106" s="8" t="s">
        <v>195</v>
      </c>
      <c r="AA106" s="9">
        <f>X103</f>
        <v>14.882695</v>
      </c>
      <c r="AB106" s="3">
        <f>SUM(AA101:AA106)</f>
        <v>120.35169049999999</v>
      </c>
      <c r="AC106" s="8" t="s">
        <v>4</v>
      </c>
      <c r="AD106" s="9">
        <f>'Portfolio Formatted'!O27/4</f>
        <v>5.483200000000001</v>
      </c>
      <c r="AF106" s="12" t="s">
        <v>57</v>
      </c>
      <c r="AG106" s="12" t="s">
        <v>90</v>
      </c>
      <c r="AI106" s="8" t="s">
        <v>195</v>
      </c>
      <c r="AJ106" s="239">
        <f>AG104</f>
        <v>14.882695</v>
      </c>
      <c r="AK106" s="3">
        <f>SUM(AJ101:AJ106)</f>
        <v>120.3516905</v>
      </c>
      <c r="AL106" s="8" t="s">
        <v>260</v>
      </c>
      <c r="AM106" s="9">
        <f>111*0.94</f>
        <v>104.33999999999999</v>
      </c>
    </row>
    <row r="107" spans="1:40" outlineLevel="1" x14ac:dyDescent="0.25">
      <c r="A107" t="s">
        <v>65</v>
      </c>
      <c r="B107" s="3">
        <f>SUM(B102:B106)</f>
        <v>3689.6184671687997</v>
      </c>
      <c r="C107" s="3"/>
      <c r="E107" s="12" t="s">
        <v>57</v>
      </c>
      <c r="F107" s="12" t="s">
        <v>90</v>
      </c>
      <c r="H107" s="7"/>
      <c r="I107" s="7"/>
      <c r="K107" s="8" t="s">
        <v>67</v>
      </c>
      <c r="L107" s="9">
        <f>'Portfolio Formatted'!O29/4</f>
        <v>10.371515</v>
      </c>
      <c r="N107" s="12" t="s">
        <v>57</v>
      </c>
      <c r="O107" s="12" t="s">
        <v>90</v>
      </c>
      <c r="Q107" s="8" t="s">
        <v>83</v>
      </c>
      <c r="R107" s="9"/>
      <c r="S107" s="3"/>
      <c r="T107" s="8" t="s">
        <v>1</v>
      </c>
      <c r="U107" s="9">
        <f>'Portfolio Formatted'!O10/4</f>
        <v>13.342001999999999</v>
      </c>
      <c r="W107" s="8" t="s">
        <v>254</v>
      </c>
      <c r="X107" s="163">
        <f>0.42*70</f>
        <v>29.4</v>
      </c>
      <c r="Z107" s="7"/>
      <c r="AA107" s="7"/>
      <c r="AC107" s="8" t="s">
        <v>5</v>
      </c>
      <c r="AD107" s="9">
        <f>'Portfolio Formatted'!O30/4</f>
        <v>43.461739999999999</v>
      </c>
      <c r="AF107" s="8" t="s">
        <v>254</v>
      </c>
      <c r="AG107" s="163">
        <f>0.42*70</f>
        <v>29.4</v>
      </c>
      <c r="AI107" s="7"/>
      <c r="AJ107" s="7"/>
      <c r="AL107" s="9" t="s">
        <v>4</v>
      </c>
      <c r="AM107" s="9">
        <f>'Portfolio Formatted'!O27/4</f>
        <v>5.483200000000001</v>
      </c>
      <c r="AN107" s="136"/>
    </row>
    <row r="108" spans="1:40" outlineLevel="1" x14ac:dyDescent="0.25">
      <c r="E108" s="137" t="s">
        <v>250</v>
      </c>
      <c r="F108" s="163">
        <f>0.42*70</f>
        <v>29.4</v>
      </c>
      <c r="H108" s="12" t="s">
        <v>57</v>
      </c>
      <c r="I108" s="12" t="s">
        <v>90</v>
      </c>
      <c r="K108" s="8" t="s">
        <v>4</v>
      </c>
      <c r="L108" s="9">
        <f>'Portfolio Formatted'!O27/4</f>
        <v>5.483200000000001</v>
      </c>
      <c r="N108" s="8" t="s">
        <v>254</v>
      </c>
      <c r="O108" s="163">
        <f>0.42*70</f>
        <v>29.4</v>
      </c>
      <c r="Q108" s="137" t="s">
        <v>62</v>
      </c>
      <c r="R108" s="138">
        <f>'Portfolio Formatted'!O65/4</f>
        <v>17.9025</v>
      </c>
      <c r="S108" s="3">
        <f>SUM(R107:R108)</f>
        <v>17.9025</v>
      </c>
      <c r="T108" s="8" t="s">
        <v>4</v>
      </c>
      <c r="U108" s="9">
        <f>'Portfolio Formatted'!O27/4</f>
        <v>5.483200000000001</v>
      </c>
      <c r="W108" s="8" t="s">
        <v>83</v>
      </c>
      <c r="X108" s="163">
        <f>'Portfolio Formatted'!O47/4</f>
        <v>26.490960000000001</v>
      </c>
      <c r="Y108" s="3"/>
      <c r="Z108" s="12"/>
      <c r="AA108" s="12"/>
      <c r="AB108" s="3"/>
      <c r="AC108" s="8" t="s">
        <v>67</v>
      </c>
      <c r="AD108" s="9">
        <f>'Portfolio Formatted'!O29/4</f>
        <v>10.371515</v>
      </c>
      <c r="AF108" s="8" t="s">
        <v>83</v>
      </c>
      <c r="AG108" s="163">
        <f>'Portfolio Formatted'!O47/4</f>
        <v>26.490960000000001</v>
      </c>
      <c r="AH108" s="3"/>
      <c r="AI108" s="12" t="s">
        <v>57</v>
      </c>
      <c r="AJ108" s="12" t="s">
        <v>90</v>
      </c>
      <c r="AL108" s="9" t="s">
        <v>5</v>
      </c>
      <c r="AM108" s="9">
        <f>'Portfolio Formatted'!O30/4</f>
        <v>43.461739999999999</v>
      </c>
      <c r="AN108" s="136"/>
    </row>
    <row r="109" spans="1:40" outlineLevel="1" x14ac:dyDescent="0.25">
      <c r="E109" s="137" t="s">
        <v>83</v>
      </c>
      <c r="F109" s="163">
        <f>'Portfolio Formatted'!O47/4</f>
        <v>26.490960000000001</v>
      </c>
      <c r="H109" s="137" t="s">
        <v>62</v>
      </c>
      <c r="I109" s="138">
        <f>'Portfolio Formatted'!O65/4</f>
        <v>17.9025</v>
      </c>
      <c r="J109" s="3">
        <f>SUM(I109:I109)</f>
        <v>17.9025</v>
      </c>
      <c r="K109" s="8" t="s">
        <v>195</v>
      </c>
      <c r="L109" s="9">
        <f>I106</f>
        <v>14.882695</v>
      </c>
      <c r="M109" s="3">
        <f>SUM(L101:L109)</f>
        <v>258.02829749999995</v>
      </c>
      <c r="N109" s="8" t="s">
        <v>83</v>
      </c>
      <c r="O109" s="163">
        <f>'Portfolio Formatted'!O47/4</f>
        <v>26.490960000000001</v>
      </c>
      <c r="P109" s="3"/>
      <c r="Q109" s="7"/>
      <c r="R109" s="7"/>
      <c r="T109" s="8" t="s">
        <v>67</v>
      </c>
      <c r="U109" s="9">
        <f>'Portfolio Formatted'!O29/4</f>
        <v>10.371515</v>
      </c>
      <c r="W109" s="8" t="s">
        <v>114</v>
      </c>
      <c r="X109" s="9">
        <f>'Portfolio Formatted'!O44/2</f>
        <v>19.230900000000002</v>
      </c>
      <c r="Z109" s="8" t="s">
        <v>62</v>
      </c>
      <c r="AA109" s="9">
        <f>'Portfolio Formatted'!O65/4</f>
        <v>17.9025</v>
      </c>
      <c r="AC109" s="8" t="s">
        <v>200</v>
      </c>
      <c r="AD109" s="9">
        <f>'Portfolio Formatted'!O9/4</f>
        <v>3.7699299999999996</v>
      </c>
      <c r="AF109" s="8" t="s">
        <v>212</v>
      </c>
      <c r="AG109" s="9">
        <v>0.55000000000000004</v>
      </c>
      <c r="AH109" s="3"/>
      <c r="AI109" s="8" t="s">
        <v>62</v>
      </c>
      <c r="AJ109" s="9">
        <f>'Portfolio Formatted'!O65/4</f>
        <v>17.9025</v>
      </c>
      <c r="AK109" s="3"/>
      <c r="AL109" s="9" t="s">
        <v>67</v>
      </c>
      <c r="AM109" s="9">
        <f>'Portfolio Formatted'!O29/4</f>
        <v>10.371515</v>
      </c>
      <c r="AN109" s="136"/>
    </row>
    <row r="110" spans="1:40" outlineLevel="1" x14ac:dyDescent="0.25">
      <c r="E110" s="8" t="s">
        <v>114</v>
      </c>
      <c r="F110" s="9">
        <f>'Portfolio Formatted'!O44/2</f>
        <v>19.230900000000002</v>
      </c>
      <c r="H110" s="7"/>
      <c r="I110" s="7"/>
      <c r="J110" s="3"/>
      <c r="K110" s="7"/>
      <c r="L110" s="7"/>
      <c r="N110" s="8" t="s">
        <v>2</v>
      </c>
      <c r="O110" s="9">
        <f>'Portfolio Formatted'!O49/4</f>
        <v>19.702500000000001</v>
      </c>
      <c r="Q110" s="12" t="s">
        <v>58</v>
      </c>
      <c r="R110" s="12" t="s">
        <v>90</v>
      </c>
      <c r="T110" s="8" t="s">
        <v>195</v>
      </c>
      <c r="U110" s="9">
        <f>R103+(0.27*75)</f>
        <v>35.132694999999998</v>
      </c>
      <c r="W110" s="8" t="s">
        <v>252</v>
      </c>
      <c r="X110" s="163">
        <f>'Portfolio Formatted'!O66/4</f>
        <v>65.695869999999999</v>
      </c>
      <c r="Y110" s="3">
        <f>SUM(X107:X110)</f>
        <v>140.81772999999998</v>
      </c>
      <c r="Z110" s="8"/>
      <c r="AA110" s="9"/>
      <c r="AB110" s="3">
        <f>SUM(AA109:AA110)</f>
        <v>17.9025</v>
      </c>
      <c r="AC110" s="8" t="s">
        <v>2</v>
      </c>
      <c r="AD110" s="9">
        <f>'Portfolio Formatted'!O11/4</f>
        <v>9.9824999999999999</v>
      </c>
      <c r="AF110" s="8" t="s">
        <v>114</v>
      </c>
      <c r="AG110" s="9"/>
      <c r="AI110" s="8" t="s">
        <v>114</v>
      </c>
      <c r="AJ110" s="9"/>
      <c r="AK110" s="3">
        <f>SUM(AJ109:AJ110)</f>
        <v>17.9025</v>
      </c>
      <c r="AL110" s="9" t="s">
        <v>2</v>
      </c>
      <c r="AM110" s="9">
        <f>'Portfolio Formatted'!O11/4</f>
        <v>9.9824999999999999</v>
      </c>
      <c r="AN110" s="136"/>
    </row>
    <row r="111" spans="1:40" outlineLevel="1" x14ac:dyDescent="0.25">
      <c r="E111" s="137" t="s">
        <v>252</v>
      </c>
      <c r="F111" s="163">
        <f>'Portfolio Formatted'!O66/4</f>
        <v>65.695869999999999</v>
      </c>
      <c r="G111" s="2">
        <f>SUM(F108:F111)</f>
        <v>140.81772999999998</v>
      </c>
      <c r="H111" s="12" t="s">
        <v>58</v>
      </c>
      <c r="I111" s="12" t="s">
        <v>90</v>
      </c>
      <c r="K111" s="12" t="s">
        <v>57</v>
      </c>
      <c r="L111" s="12" t="s">
        <v>90</v>
      </c>
      <c r="N111" s="8" t="s">
        <v>100</v>
      </c>
      <c r="O111" s="9">
        <f>113.96*0.8</f>
        <v>91.168000000000006</v>
      </c>
      <c r="Q111" s="8" t="s">
        <v>62</v>
      </c>
      <c r="R111" s="9">
        <f>'Portfolio Formatted'!O80/4</f>
        <v>5.8286867100000004</v>
      </c>
      <c r="S111" s="3"/>
      <c r="T111" s="8" t="s">
        <v>2</v>
      </c>
      <c r="U111" s="9">
        <f>'Portfolio Formatted'!O11/4</f>
        <v>9.9824999999999999</v>
      </c>
      <c r="V111" s="3">
        <f>SUM(U101:U111)</f>
        <v>291.71739749999995</v>
      </c>
      <c r="W111" s="7"/>
      <c r="X111" s="7"/>
      <c r="Z111" s="7"/>
      <c r="AA111" s="7"/>
      <c r="AC111" s="8" t="s">
        <v>195</v>
      </c>
      <c r="AD111" s="9">
        <f>AA106</f>
        <v>14.882695</v>
      </c>
      <c r="AE111" s="3">
        <f>SUM(AD101:AD111)</f>
        <v>271.78072749999995</v>
      </c>
      <c r="AF111" s="8" t="s">
        <v>252</v>
      </c>
      <c r="AG111" s="163">
        <f>'Portfolio Formatted'!O66/4</f>
        <v>65.695869999999999</v>
      </c>
      <c r="AH111" s="3">
        <f>SUM(AG107:AG111)</f>
        <v>122.13683</v>
      </c>
      <c r="AI111" s="7"/>
      <c r="AJ111" s="7"/>
      <c r="AL111" s="8" t="s">
        <v>195</v>
      </c>
      <c r="AM111" s="9">
        <f>AJ106+(0.27*75)</f>
        <v>35.132694999999998</v>
      </c>
      <c r="AN111" s="3">
        <f>SUM(AM101:AM111)</f>
        <v>292.03072749999995</v>
      </c>
    </row>
    <row r="112" spans="1:40" outlineLevel="1" x14ac:dyDescent="0.25">
      <c r="E112" s="7"/>
      <c r="F112" s="7"/>
      <c r="H112" s="8" t="s">
        <v>62</v>
      </c>
      <c r="I112" s="9">
        <f>'Portfolio Formatted'!O80/4</f>
        <v>5.8286867100000004</v>
      </c>
      <c r="J112" s="3"/>
      <c r="K112" s="137" t="s">
        <v>190</v>
      </c>
      <c r="L112" s="138"/>
      <c r="M112" s="3">
        <f>SUM(L112:L112)</f>
        <v>0</v>
      </c>
      <c r="N112" s="137" t="s">
        <v>252</v>
      </c>
      <c r="O112" s="138">
        <f>'Portfolio Formatted'!O66/4</f>
        <v>65.695869999999999</v>
      </c>
      <c r="P112" s="3">
        <f>SUM(O108:O112)</f>
        <v>232.45733000000001</v>
      </c>
      <c r="Q112" s="8" t="s">
        <v>66</v>
      </c>
      <c r="R112" s="9">
        <v>3.12</v>
      </c>
      <c r="S112" s="3"/>
      <c r="T112" s="7"/>
      <c r="U112" s="7"/>
      <c r="W112" s="12" t="s">
        <v>58</v>
      </c>
      <c r="X112" s="12" t="s">
        <v>90</v>
      </c>
      <c r="Z112" s="12" t="s">
        <v>58</v>
      </c>
      <c r="AA112" s="12" t="s">
        <v>90</v>
      </c>
      <c r="AB112" s="3"/>
      <c r="AC112" s="7"/>
      <c r="AD112" s="7"/>
      <c r="AF112" s="7"/>
      <c r="AG112" s="7"/>
      <c r="AI112" s="12" t="s">
        <v>58</v>
      </c>
      <c r="AJ112" s="12" t="s">
        <v>90</v>
      </c>
      <c r="AL112" s="7"/>
      <c r="AM112" s="7"/>
    </row>
    <row r="113" spans="5:40" outlineLevel="1" x14ac:dyDescent="0.25">
      <c r="E113" s="12" t="s">
        <v>58</v>
      </c>
      <c r="F113" s="12" t="s">
        <v>90</v>
      </c>
      <c r="G113" s="3"/>
      <c r="H113" s="8" t="s">
        <v>66</v>
      </c>
      <c r="I113" s="9"/>
      <c r="K113" s="7"/>
      <c r="L113" s="7"/>
      <c r="M113" s="3"/>
      <c r="N113" s="7"/>
      <c r="O113" s="7"/>
      <c r="Q113" s="8" t="s">
        <v>112</v>
      </c>
      <c r="R113" s="9">
        <v>1.84</v>
      </c>
      <c r="S113" s="3"/>
      <c r="T113" s="12" t="s">
        <v>57</v>
      </c>
      <c r="U113" s="12" t="s">
        <v>90</v>
      </c>
      <c r="W113" s="8" t="s">
        <v>60</v>
      </c>
      <c r="X113" s="9">
        <f>'Portfolio Formatted'!O72/4</f>
        <v>9.6619144400000003</v>
      </c>
      <c r="Y113" s="3"/>
      <c r="Z113" s="8" t="s">
        <v>112</v>
      </c>
      <c r="AA113" s="9">
        <v>1.86</v>
      </c>
      <c r="AB113" s="3"/>
      <c r="AC113" s="12" t="s">
        <v>57</v>
      </c>
      <c r="AD113" s="12" t="s">
        <v>90</v>
      </c>
      <c r="AF113" s="12" t="s">
        <v>58</v>
      </c>
      <c r="AG113" s="12" t="s">
        <v>90</v>
      </c>
      <c r="AI113" s="8" t="s">
        <v>112</v>
      </c>
      <c r="AJ113" s="9">
        <f>0.029774*62.47</f>
        <v>1.8599817799999998</v>
      </c>
      <c r="AK113" s="3"/>
      <c r="AL113" s="12" t="s">
        <v>57</v>
      </c>
      <c r="AM113" s="12" t="s">
        <v>90</v>
      </c>
    </row>
    <row r="114" spans="5:40" outlineLevel="1" x14ac:dyDescent="0.25">
      <c r="E114" s="8" t="s">
        <v>60</v>
      </c>
      <c r="F114" s="9">
        <f>'Portfolio Formatted'!O72/4</f>
        <v>9.6619144400000003</v>
      </c>
      <c r="H114" s="8" t="s">
        <v>61</v>
      </c>
      <c r="I114" s="9">
        <v>3.65</v>
      </c>
      <c r="K114" s="12" t="s">
        <v>58</v>
      </c>
      <c r="L114" s="12" t="s">
        <v>90</v>
      </c>
      <c r="N114" s="12" t="s">
        <v>58</v>
      </c>
      <c r="O114" s="12" t="s">
        <v>90</v>
      </c>
      <c r="Q114" s="8" t="s">
        <v>61</v>
      </c>
      <c r="R114" s="9">
        <v>3.45</v>
      </c>
      <c r="S114" s="3">
        <f>SUM(R111:R114)</f>
        <v>14.23868671</v>
      </c>
      <c r="T114" s="8" t="s">
        <v>2</v>
      </c>
      <c r="U114" s="8">
        <f>'Portfolio Formatted'!O49/4</f>
        <v>19.702500000000001</v>
      </c>
      <c r="W114" s="8" t="s">
        <v>113</v>
      </c>
      <c r="X114" s="9">
        <f>'Portfolio Formatted'!O74/4</f>
        <v>4.1405080599999993</v>
      </c>
      <c r="Y114" s="3"/>
      <c r="Z114" s="8" t="s">
        <v>61</v>
      </c>
      <c r="AA114" s="9">
        <f>133.55*0.02703</f>
        <v>3.6098565000000002</v>
      </c>
      <c r="AC114" s="8" t="s">
        <v>100</v>
      </c>
      <c r="AD114" s="138">
        <f>113.96*0.8</f>
        <v>91.168000000000006</v>
      </c>
      <c r="AE114" s="3"/>
      <c r="AF114" s="8" t="s">
        <v>60</v>
      </c>
      <c r="AG114" s="9">
        <f>'Portfolio Formatted'!O72/4</f>
        <v>9.6619144400000003</v>
      </c>
      <c r="AH114" s="3"/>
      <c r="AI114" s="8" t="s">
        <v>61</v>
      </c>
      <c r="AJ114" s="9">
        <v>3.63</v>
      </c>
      <c r="AK114" s="3"/>
      <c r="AL114" s="8" t="s">
        <v>83</v>
      </c>
      <c r="AM114" s="9"/>
      <c r="AN114" s="3"/>
    </row>
    <row r="115" spans="5:40" outlineLevel="1" x14ac:dyDescent="0.25">
      <c r="E115" s="8" t="s">
        <v>113</v>
      </c>
      <c r="F115" s="9">
        <f>'Portfolio Formatted'!O74/4</f>
        <v>4.1405080599999993</v>
      </c>
      <c r="H115" s="8" t="s">
        <v>112</v>
      </c>
      <c r="I115" s="9">
        <v>2.11</v>
      </c>
      <c r="J115" s="3">
        <f>SUM(I112:I115)</f>
        <v>11.588686709999999</v>
      </c>
      <c r="K115" s="8" t="s">
        <v>64</v>
      </c>
      <c r="L115" s="9">
        <f>'Portfolio Formatted'!O73/4</f>
        <v>4.7405073544</v>
      </c>
      <c r="M115" s="3"/>
      <c r="N115" s="8" t="s">
        <v>60</v>
      </c>
      <c r="O115" s="9">
        <f>'Portfolio Formatted'!O72/4</f>
        <v>9.6619144400000003</v>
      </c>
      <c r="P115" s="3"/>
      <c r="Q115" s="10"/>
      <c r="R115" s="11"/>
      <c r="S115" s="3"/>
      <c r="T115" s="137"/>
      <c r="U115" s="138"/>
      <c r="V115" s="3">
        <f>SUM(U114:U115)</f>
        <v>19.702500000000001</v>
      </c>
      <c r="W115" s="8" t="s">
        <v>98</v>
      </c>
      <c r="X115" s="9">
        <f>'Portfolio Formatted'!O78/4</f>
        <v>20.824034399999999</v>
      </c>
      <c r="Y115" s="3">
        <f>SUM(X113:X115)</f>
        <v>34.626456899999994</v>
      </c>
      <c r="Z115" s="8" t="s">
        <v>62</v>
      </c>
      <c r="AA115" s="9">
        <f>'Portfolio Formatted'!O80/4</f>
        <v>5.8286867100000004</v>
      </c>
      <c r="AB115" s="3">
        <f>SUM(AA113:AA115)</f>
        <v>11.298543210000002</v>
      </c>
      <c r="AC115" s="8" t="s">
        <v>2</v>
      </c>
      <c r="AD115" s="138">
        <f>'Portfolio Formatted'!O49/4</f>
        <v>19.702500000000001</v>
      </c>
      <c r="AE115" s="3"/>
      <c r="AF115" s="8" t="s">
        <v>113</v>
      </c>
      <c r="AG115" s="9">
        <f>'Portfolio Formatted'!O74/4</f>
        <v>4.1405080599999993</v>
      </c>
      <c r="AH115" s="3"/>
      <c r="AI115" s="8" t="s">
        <v>62</v>
      </c>
      <c r="AJ115" s="9">
        <f>'Portfolio Formatted'!O80/4</f>
        <v>5.8286867100000004</v>
      </c>
      <c r="AK115" s="3">
        <f>SUM(AJ113:AJ115)</f>
        <v>11.31866849</v>
      </c>
      <c r="AL115" s="8" t="s">
        <v>2</v>
      </c>
      <c r="AM115" s="9">
        <f>'Portfolio Formatted'!O49/4</f>
        <v>19.702500000000001</v>
      </c>
      <c r="AN115" s="3">
        <f>SUM(AM114:AM115)</f>
        <v>19.702500000000001</v>
      </c>
    </row>
    <row r="116" spans="5:40" outlineLevel="1" x14ac:dyDescent="0.25">
      <c r="E116" s="8" t="s">
        <v>98</v>
      </c>
      <c r="F116" s="9">
        <f>'Portfolio Formatted'!O78/4</f>
        <v>20.824034399999999</v>
      </c>
      <c r="G116" s="3">
        <f>SUM(F114:F116)</f>
        <v>34.626456899999994</v>
      </c>
      <c r="H116" s="10"/>
      <c r="I116" s="11"/>
      <c r="K116" s="8" t="s">
        <v>127</v>
      </c>
      <c r="L116" s="9">
        <f>'Portfolio Formatted'!O75/4</f>
        <v>21.163128910000001</v>
      </c>
      <c r="N116" s="8" t="s">
        <v>113</v>
      </c>
      <c r="O116" s="9">
        <f>'Portfolio Formatted'!O74/4</f>
        <v>4.1405080599999993</v>
      </c>
      <c r="P116" s="3"/>
      <c r="Q116" s="12" t="s">
        <v>176</v>
      </c>
      <c r="R116" s="13" t="s">
        <v>90</v>
      </c>
      <c r="S116" s="3"/>
      <c r="T116" s="7"/>
      <c r="U116" s="7"/>
      <c r="W116" s="10"/>
      <c r="X116" s="11"/>
      <c r="Y116" s="3"/>
      <c r="Z116" s="10"/>
      <c r="AA116" s="11"/>
      <c r="AB116" s="3"/>
      <c r="AC116" s="8"/>
      <c r="AD116" s="9"/>
      <c r="AE116" s="3">
        <f>SUM(AD114:AD116)</f>
        <v>110.87050000000001</v>
      </c>
      <c r="AF116" s="8" t="s">
        <v>98</v>
      </c>
      <c r="AG116" s="9">
        <f>'Portfolio Formatted'!O78/4</f>
        <v>20.824034399999999</v>
      </c>
      <c r="AH116" s="3">
        <f>SUM(AG114:AG116)</f>
        <v>34.626456899999994</v>
      </c>
      <c r="AI116" s="10"/>
      <c r="AJ116" s="11"/>
      <c r="AK116" s="3"/>
      <c r="AL116" s="7"/>
      <c r="AM116" s="7"/>
    </row>
    <row r="117" spans="5:40" outlineLevel="1" x14ac:dyDescent="0.25">
      <c r="E117" s="10"/>
      <c r="F117" s="11"/>
      <c r="H117" s="12" t="s">
        <v>176</v>
      </c>
      <c r="I117" s="13" t="s">
        <v>90</v>
      </c>
      <c r="J117" s="3"/>
      <c r="K117" s="8" t="s">
        <v>85</v>
      </c>
      <c r="L117" s="9">
        <v>6.76</v>
      </c>
      <c r="N117" s="8" t="s">
        <v>98</v>
      </c>
      <c r="O117" s="9">
        <f>'Portfolio Formatted'!O78/4</f>
        <v>20.824034399999999</v>
      </c>
      <c r="P117" s="3">
        <f>SUM(O115:O117)</f>
        <v>34.626456899999994</v>
      </c>
      <c r="Q117" s="8" t="s">
        <v>86</v>
      </c>
      <c r="R117" s="9">
        <v>0.84</v>
      </c>
      <c r="T117" s="12" t="s">
        <v>58</v>
      </c>
      <c r="U117" s="12" t="s">
        <v>90</v>
      </c>
      <c r="V117" s="3"/>
      <c r="W117" s="12" t="s">
        <v>176</v>
      </c>
      <c r="X117" s="13" t="s">
        <v>90</v>
      </c>
      <c r="Y117" s="3"/>
      <c r="Z117" s="12" t="s">
        <v>176</v>
      </c>
      <c r="AA117" s="13" t="s">
        <v>90</v>
      </c>
      <c r="AC117" s="7"/>
      <c r="AD117" s="7"/>
      <c r="AF117" s="10"/>
      <c r="AG117" s="11"/>
      <c r="AH117" s="3"/>
      <c r="AI117" s="12" t="s">
        <v>176</v>
      </c>
      <c r="AJ117" s="13" t="s">
        <v>90</v>
      </c>
      <c r="AK117" s="3"/>
      <c r="AL117" s="12" t="s">
        <v>58</v>
      </c>
      <c r="AM117" s="12" t="s">
        <v>90</v>
      </c>
    </row>
    <row r="118" spans="5:40" outlineLevel="1" x14ac:dyDescent="0.25">
      <c r="E118" s="12" t="s">
        <v>176</v>
      </c>
      <c r="F118" s="13" t="s">
        <v>90</v>
      </c>
      <c r="G118" s="3"/>
      <c r="H118" s="8" t="s">
        <v>86</v>
      </c>
      <c r="I118" s="9">
        <v>0.84</v>
      </c>
      <c r="K118" s="8" t="s">
        <v>6</v>
      </c>
      <c r="L118" s="9">
        <f>'Portfolio Formatted'!O81/4</f>
        <v>2.4777725249999998</v>
      </c>
      <c r="M118" s="3">
        <f>SUM(L115:L118)</f>
        <v>35.141408789399996</v>
      </c>
      <c r="N118" s="10"/>
      <c r="O118" s="11"/>
      <c r="P118" s="3"/>
      <c r="Q118" s="7"/>
      <c r="R118" s="7"/>
      <c r="T118" s="8" t="s">
        <v>64</v>
      </c>
      <c r="U118" s="9">
        <f>'Portfolio Formatted'!O73/4</f>
        <v>4.7405073544</v>
      </c>
      <c r="W118" s="8" t="s">
        <v>86</v>
      </c>
      <c r="X118" s="9">
        <v>0.84</v>
      </c>
      <c r="Z118" s="8" t="s">
        <v>86</v>
      </c>
      <c r="AA118" s="9">
        <v>0.84</v>
      </c>
      <c r="AC118" s="12" t="s">
        <v>58</v>
      </c>
      <c r="AD118" s="12" t="s">
        <v>90</v>
      </c>
      <c r="AF118" s="12" t="s">
        <v>176</v>
      </c>
      <c r="AG118" s="13" t="s">
        <v>90</v>
      </c>
      <c r="AH118" s="3"/>
      <c r="AI118" s="8" t="s">
        <v>86</v>
      </c>
      <c r="AJ118" s="9">
        <v>0.84</v>
      </c>
      <c r="AL118" s="8" t="s">
        <v>6</v>
      </c>
      <c r="AM118" s="9">
        <f>'Portfolio Formatted'!O81/4</f>
        <v>2.4777725249999998</v>
      </c>
      <c r="AN118" s="3"/>
    </row>
    <row r="119" spans="5:40" ht="15.75" outlineLevel="1" thickBot="1" x14ac:dyDescent="0.3">
      <c r="E119" s="8" t="s">
        <v>86</v>
      </c>
      <c r="F119" s="9">
        <v>0.84</v>
      </c>
      <c r="H119" s="7"/>
      <c r="I119" s="7"/>
      <c r="K119" s="10"/>
      <c r="L119" s="11"/>
      <c r="N119" s="12" t="s">
        <v>176</v>
      </c>
      <c r="O119" s="13" t="s">
        <v>90</v>
      </c>
      <c r="P119" s="3"/>
      <c r="Q119" s="14" t="s">
        <v>65</v>
      </c>
      <c r="R119" s="15">
        <f>SUM(R111:R114)+SUM(R107:R108)+SUM(R100:R104)+R117</f>
        <v>149.87627721000001</v>
      </c>
      <c r="S119" s="3"/>
      <c r="T119" s="8" t="s">
        <v>127</v>
      </c>
      <c r="U119" s="9">
        <f>'Portfolio Formatted'!O75/4</f>
        <v>21.163128910000001</v>
      </c>
      <c r="W119" s="7"/>
      <c r="X119" s="7"/>
      <c r="Z119" s="7"/>
      <c r="AA119" s="7"/>
      <c r="AB119" s="3"/>
      <c r="AC119" s="8" t="s">
        <v>64</v>
      </c>
      <c r="AD119" s="9">
        <v>4.62</v>
      </c>
      <c r="AE119" s="3"/>
      <c r="AF119" s="8" t="s">
        <v>86</v>
      </c>
      <c r="AG119" s="9">
        <v>0.84</v>
      </c>
      <c r="AI119" s="7"/>
      <c r="AJ119" s="7"/>
      <c r="AL119" s="8" t="s">
        <v>127</v>
      </c>
      <c r="AM119" s="9">
        <f>'Portfolio Formatted'!O75/4</f>
        <v>21.163128910000001</v>
      </c>
      <c r="AN119" s="3"/>
    </row>
    <row r="120" spans="5:40" ht="15.75" outlineLevel="1" thickBot="1" x14ac:dyDescent="0.3">
      <c r="E120" s="7"/>
      <c r="F120" s="7"/>
      <c r="H120" s="14" t="s">
        <v>65</v>
      </c>
      <c r="I120" s="15">
        <f>SUM(I112:I115)+SUM(I109)+SUM(I101:I106)+I118</f>
        <v>150.68287720999999</v>
      </c>
      <c r="K120" s="12" t="s">
        <v>176</v>
      </c>
      <c r="L120" s="13" t="s">
        <v>90</v>
      </c>
      <c r="N120" s="8" t="s">
        <v>86</v>
      </c>
      <c r="O120" s="9">
        <v>0.84</v>
      </c>
      <c r="T120" s="8" t="s">
        <v>85</v>
      </c>
      <c r="U120" s="9">
        <v>6.59</v>
      </c>
      <c r="W120" s="14" t="s">
        <v>65</v>
      </c>
      <c r="X120" s="15">
        <f>SUM(X113:X115)+SUM(X107:X110)+SUM(X101:X104)+X118</f>
        <v>255.87884739999998</v>
      </c>
      <c r="Y120" s="3"/>
      <c r="Z120" s="14" t="s">
        <v>65</v>
      </c>
      <c r="AA120" s="15">
        <f>SUM(AA113:AA115)+SUM(AA109:AA110)+SUM(AA101:AA106)+AA118</f>
        <v>150.39273370999999</v>
      </c>
      <c r="AC120" s="8" t="s">
        <v>127</v>
      </c>
      <c r="AD120" s="9">
        <f>'Portfolio Formatted'!O75/4</f>
        <v>21.163128910000001</v>
      </c>
      <c r="AE120" s="3"/>
      <c r="AF120" s="7"/>
      <c r="AG120" s="7"/>
      <c r="AI120" s="14" t="s">
        <v>65</v>
      </c>
      <c r="AJ120" s="15">
        <f>SUM(AJ113:AJ115)+SUM(AJ109:AJ110)+SUM(AJ102:AJ106)+AJ118</f>
        <v>126.55629349</v>
      </c>
      <c r="AK120" s="3"/>
      <c r="AL120" s="8"/>
      <c r="AM120" s="9"/>
      <c r="AN120" s="3">
        <f>SUM(AM118:AM120)</f>
        <v>23.640901435</v>
      </c>
    </row>
    <row r="121" spans="5:40" ht="15.75" outlineLevel="1" thickBot="1" x14ac:dyDescent="0.3">
      <c r="E121" s="14" t="s">
        <v>65</v>
      </c>
      <c r="F121" s="15">
        <f>SUM(F114:F116)+SUM(F108:F111)+SUM(F102:F105)+F119</f>
        <v>255.87884739999996</v>
      </c>
      <c r="K121" s="8" t="s">
        <v>86</v>
      </c>
      <c r="L121" s="9">
        <v>0.84</v>
      </c>
      <c r="M121" s="3"/>
      <c r="N121" s="7"/>
      <c r="O121" s="7"/>
      <c r="T121" s="8" t="s">
        <v>6</v>
      </c>
      <c r="U121" s="9">
        <f>'Portfolio Formatted'!O81/4</f>
        <v>2.4777725249999998</v>
      </c>
      <c r="V121" s="3">
        <f>SUM(U118:U121)</f>
        <v>34.971408789399995</v>
      </c>
      <c r="AC121" s="8" t="s">
        <v>6</v>
      </c>
      <c r="AD121" s="9">
        <f>'Portfolio Formatted'!O81/4</f>
        <v>2.4777725249999998</v>
      </c>
      <c r="AE121" s="3"/>
      <c r="AF121" s="14" t="s">
        <v>65</v>
      </c>
      <c r="AG121" s="15">
        <f>SUM(AG114:AG116)+SUM(AG107:AG111)+SUM(AG102:AG104)+AG119</f>
        <v>213.34138190000002</v>
      </c>
      <c r="AH121" s="3"/>
      <c r="AL121" s="10"/>
      <c r="AM121" s="11"/>
      <c r="AN121" s="3"/>
    </row>
    <row r="122" spans="5:40" ht="15.75" outlineLevel="1" thickBot="1" x14ac:dyDescent="0.3">
      <c r="K122" s="7"/>
      <c r="L122" s="7"/>
      <c r="N122" s="14" t="s">
        <v>65</v>
      </c>
      <c r="O122" s="15">
        <f>SUM(O115:O117)+SUM(O108:O112)+SUM(O100:O105)+O120</f>
        <v>361.27087739999996</v>
      </c>
      <c r="P122" s="3"/>
      <c r="T122" s="10"/>
      <c r="U122" s="11"/>
      <c r="V122" s="3"/>
      <c r="AC122" s="8" t="s">
        <v>85</v>
      </c>
      <c r="AD122" s="9">
        <v>6.65</v>
      </c>
      <c r="AE122" s="3">
        <f>SUM(AD119:AD122)</f>
        <v>34.910901435</v>
      </c>
      <c r="AL122" s="12" t="s">
        <v>176</v>
      </c>
      <c r="AM122" s="13" t="s">
        <v>90</v>
      </c>
      <c r="AN122" s="3"/>
    </row>
    <row r="123" spans="5:40" outlineLevel="1" x14ac:dyDescent="0.25">
      <c r="K123" s="12" t="s">
        <v>176</v>
      </c>
      <c r="L123" s="13" t="s">
        <v>90</v>
      </c>
      <c r="N123" s="12" t="s">
        <v>176</v>
      </c>
      <c r="O123" s="13" t="s">
        <v>90</v>
      </c>
      <c r="P123" s="3"/>
      <c r="T123" s="12" t="s">
        <v>176</v>
      </c>
      <c r="U123" s="13" t="s">
        <v>90</v>
      </c>
      <c r="AC123" s="10"/>
      <c r="AD123" s="11"/>
      <c r="AE123" s="3"/>
      <c r="AL123" s="8" t="s">
        <v>86</v>
      </c>
      <c r="AM123" s="9">
        <v>0.84</v>
      </c>
    </row>
    <row r="124" spans="5:40" outlineLevel="1" x14ac:dyDescent="0.25">
      <c r="K124" s="8" t="s">
        <v>136</v>
      </c>
      <c r="L124" s="9">
        <f>241*0.6</f>
        <v>144.6</v>
      </c>
      <c r="T124" s="8" t="s">
        <v>86</v>
      </c>
      <c r="U124" s="9">
        <v>0.84</v>
      </c>
      <c r="AC124" s="12" t="s">
        <v>176</v>
      </c>
      <c r="AD124" s="13" t="s">
        <v>90</v>
      </c>
      <c r="AE124" s="3"/>
      <c r="AL124" s="7"/>
      <c r="AM124" s="7"/>
    </row>
    <row r="125" spans="5:40" outlineLevel="1" x14ac:dyDescent="0.25">
      <c r="Q125" s="135"/>
      <c r="R125" s="135"/>
      <c r="S125" s="135"/>
      <c r="T125" s="7"/>
      <c r="U125" s="7"/>
      <c r="AC125" s="8" t="s">
        <v>86</v>
      </c>
      <c r="AD125" s="9">
        <v>0.84</v>
      </c>
      <c r="AL125" s="12" t="s">
        <v>136</v>
      </c>
      <c r="AM125" s="13" t="s">
        <v>90</v>
      </c>
      <c r="AN125" s="3"/>
    </row>
    <row r="126" spans="5:40" ht="15.75" outlineLevel="1" thickBot="1" x14ac:dyDescent="0.3">
      <c r="K126" s="14" t="s">
        <v>65</v>
      </c>
      <c r="L126" s="15">
        <f>SUM(L115:L118)+SUM(L112)+SUM(L101:L109)+L121+L124</f>
        <v>438.60970628939992</v>
      </c>
      <c r="Q126" s="135"/>
      <c r="R126" s="136"/>
      <c r="S126" s="135"/>
      <c r="T126" s="12" t="s">
        <v>136</v>
      </c>
      <c r="U126" s="13" t="s">
        <v>90</v>
      </c>
      <c r="AC126" s="7"/>
      <c r="AD126" s="7"/>
      <c r="AL126" s="8"/>
      <c r="AM126" s="9">
        <f>0.6*241</f>
        <v>144.6</v>
      </c>
    </row>
    <row r="127" spans="5:40" outlineLevel="1" x14ac:dyDescent="0.25">
      <c r="Q127" s="135"/>
      <c r="R127" s="135"/>
      <c r="S127" s="135"/>
      <c r="T127" s="8"/>
      <c r="U127" s="9">
        <f>0.6*241</f>
        <v>144.6</v>
      </c>
      <c r="V127" s="156"/>
      <c r="AC127" s="12" t="s">
        <v>136</v>
      </c>
      <c r="AD127" s="13" t="s">
        <v>90</v>
      </c>
      <c r="AE127" s="3"/>
    </row>
    <row r="128" spans="5:40" outlineLevel="1" x14ac:dyDescent="0.25">
      <c r="P128" s="156"/>
      <c r="Q128" s="135"/>
      <c r="R128" s="135"/>
      <c r="S128" s="135"/>
      <c r="T128" s="10"/>
      <c r="U128" s="11"/>
      <c r="AC128" s="8"/>
      <c r="AD128" s="9">
        <f>0.6*241</f>
        <v>144.6</v>
      </c>
    </row>
    <row r="129" spans="1:39" ht="15.75" outlineLevel="1" thickBot="1" x14ac:dyDescent="0.3">
      <c r="P129" s="156"/>
      <c r="Q129" s="135"/>
      <c r="R129" s="135"/>
      <c r="S129" s="135"/>
      <c r="T129" s="8" t="s">
        <v>65</v>
      </c>
      <c r="U129" s="9">
        <f>SUM(U118:U121)+SUM(U114:U115)+SUM(U101:U111)+U124+U127</f>
        <v>491.83130628939989</v>
      </c>
      <c r="AL129" s="14" t="s">
        <v>65</v>
      </c>
      <c r="AM129" s="15">
        <f>SUM(AM118:AM120)+SUM(AM114:AM115)+SUM(AM102:AM111)+AM123+AM126</f>
        <v>477.04419893499994</v>
      </c>
    </row>
    <row r="130" spans="1:39" ht="15.75" outlineLevel="1" thickBot="1" x14ac:dyDescent="0.3">
      <c r="P130" s="156"/>
      <c r="T130" s="10"/>
      <c r="U130" s="11"/>
      <c r="AC130" s="14" t="s">
        <v>65</v>
      </c>
      <c r="AD130" s="15">
        <f>SUM(AD119:AD122)+SUM(AD114:AD116)+SUM(AD101:AD111)+AD125+AD128</f>
        <v>563.00212893499997</v>
      </c>
    </row>
    <row r="131" spans="1:39" x14ac:dyDescent="0.25">
      <c r="T131" s="10"/>
      <c r="U131" s="11"/>
    </row>
    <row r="132" spans="1:39" x14ac:dyDescent="0.25">
      <c r="A132" t="s">
        <v>256</v>
      </c>
    </row>
  </sheetData>
  <mergeCells count="87">
    <mergeCell ref="AL34:AM34"/>
    <mergeCell ref="AL35:AM35"/>
    <mergeCell ref="AP34:AQ34"/>
    <mergeCell ref="AP35:AQ35"/>
    <mergeCell ref="AT34:AU34"/>
    <mergeCell ref="AT35:AU35"/>
    <mergeCell ref="Z34:AA34"/>
    <mergeCell ref="Z35:AA35"/>
    <mergeCell ref="AD34:AE34"/>
    <mergeCell ref="AD35:AE35"/>
    <mergeCell ref="AH34:AI34"/>
    <mergeCell ref="AH35:AI35"/>
    <mergeCell ref="B2:C2"/>
    <mergeCell ref="B4:C4"/>
    <mergeCell ref="B3:C3"/>
    <mergeCell ref="E3:F3"/>
    <mergeCell ref="E4:F4"/>
    <mergeCell ref="B35:C35"/>
    <mergeCell ref="K3:L3"/>
    <mergeCell ref="K4:L4"/>
    <mergeCell ref="H3:I3"/>
    <mergeCell ref="H4:I4"/>
    <mergeCell ref="F35:G35"/>
    <mergeCell ref="J35:K35"/>
    <mergeCell ref="R3:S3"/>
    <mergeCell ref="R4:S4"/>
    <mergeCell ref="U3:V3"/>
    <mergeCell ref="U4:V4"/>
    <mergeCell ref="B34:C34"/>
    <mergeCell ref="F34:G34"/>
    <mergeCell ref="J34:K34"/>
    <mergeCell ref="N3:O3"/>
    <mergeCell ref="N4:O4"/>
    <mergeCell ref="V34:W34"/>
    <mergeCell ref="V35:W35"/>
    <mergeCell ref="N34:O34"/>
    <mergeCell ref="N35:O35"/>
    <mergeCell ref="R34:S34"/>
    <mergeCell ref="R35:S35"/>
    <mergeCell ref="B65:C65"/>
    <mergeCell ref="B66:C66"/>
    <mergeCell ref="E65:F65"/>
    <mergeCell ref="E66:F66"/>
    <mergeCell ref="H65:I65"/>
    <mergeCell ref="H66:I66"/>
    <mergeCell ref="K65:L65"/>
    <mergeCell ref="K66:L66"/>
    <mergeCell ref="N65:O65"/>
    <mergeCell ref="N66:O66"/>
    <mergeCell ref="Q65:R65"/>
    <mergeCell ref="Q66:R66"/>
    <mergeCell ref="T65:U65"/>
    <mergeCell ref="T66:U66"/>
    <mergeCell ref="W65:X65"/>
    <mergeCell ref="W66:X66"/>
    <mergeCell ref="Z98:AA98"/>
    <mergeCell ref="AI65:AJ65"/>
    <mergeCell ref="AI66:AJ66"/>
    <mergeCell ref="Z65:AA65"/>
    <mergeCell ref="Z66:AA66"/>
    <mergeCell ref="AC65:AD65"/>
    <mergeCell ref="AC66:AD66"/>
    <mergeCell ref="AF65:AG65"/>
    <mergeCell ref="AF66:AG66"/>
    <mergeCell ref="E98:F98"/>
    <mergeCell ref="H98:I98"/>
    <mergeCell ref="K98:L98"/>
    <mergeCell ref="AI98:AJ98"/>
    <mergeCell ref="N97:O97"/>
    <mergeCell ref="Q97:R97"/>
    <mergeCell ref="AC98:AD98"/>
    <mergeCell ref="AL98:AM98"/>
    <mergeCell ref="E99:F99"/>
    <mergeCell ref="H99:I99"/>
    <mergeCell ref="K99:L99"/>
    <mergeCell ref="N98:O98"/>
    <mergeCell ref="Q98:R98"/>
    <mergeCell ref="T99:U99"/>
    <mergeCell ref="W99:X99"/>
    <mergeCell ref="Z99:AA99"/>
    <mergeCell ref="AC99:AD99"/>
    <mergeCell ref="AF99:AG99"/>
    <mergeCell ref="AI99:AJ99"/>
    <mergeCell ref="AL99:AM99"/>
    <mergeCell ref="T98:U98"/>
    <mergeCell ref="W98:X98"/>
    <mergeCell ref="AF98:AG9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2"/>
  <sheetViews>
    <sheetView zoomScale="70" zoomScaleNormal="70" workbookViewId="0">
      <selection activeCell="S5" sqref="S5"/>
    </sheetView>
  </sheetViews>
  <sheetFormatPr defaultRowHeight="15" x14ac:dyDescent="0.25"/>
  <cols>
    <col min="3" max="3" width="12.42578125" bestFit="1" customWidth="1"/>
    <col min="4" max="4" width="10.85546875" bestFit="1" customWidth="1"/>
    <col min="5" max="5" width="15.7109375" bestFit="1" customWidth="1"/>
    <col min="6" max="10" width="15.7109375" customWidth="1"/>
    <col min="11" max="11" width="11.140625" customWidth="1"/>
    <col min="12" max="12" width="12.85546875" bestFit="1" customWidth="1"/>
    <col min="13" max="13" width="13.5703125" bestFit="1" customWidth="1"/>
    <col min="14" max="14" width="10" bestFit="1" customWidth="1"/>
    <col min="15" max="15" width="12" bestFit="1" customWidth="1"/>
  </cols>
  <sheetData>
    <row r="2" spans="2:15" x14ac:dyDescent="0.25">
      <c r="B2" t="s">
        <v>135</v>
      </c>
      <c r="C2" t="s">
        <v>53</v>
      </c>
      <c r="D2" t="s">
        <v>54</v>
      </c>
      <c r="E2" t="s">
        <v>55</v>
      </c>
      <c r="F2" t="s">
        <v>56</v>
      </c>
      <c r="G2" t="s">
        <v>45</v>
      </c>
      <c r="H2" t="s">
        <v>46</v>
      </c>
      <c r="I2" t="s">
        <v>47</v>
      </c>
      <c r="J2" t="s">
        <v>48</v>
      </c>
      <c r="K2" t="s">
        <v>49</v>
      </c>
      <c r="L2" t="s">
        <v>50</v>
      </c>
      <c r="M2" t="s">
        <v>51</v>
      </c>
      <c r="N2" t="s">
        <v>52</v>
      </c>
    </row>
    <row r="3" spans="2:15" x14ac:dyDescent="0.25">
      <c r="B3">
        <v>2013</v>
      </c>
      <c r="H3" s="2"/>
      <c r="I3" s="2"/>
      <c r="J3" s="2"/>
    </row>
    <row r="4" spans="2:15" x14ac:dyDescent="0.25">
      <c r="B4">
        <v>2014</v>
      </c>
      <c r="H4" s="2"/>
      <c r="I4" s="2"/>
      <c r="J4" s="2"/>
      <c r="K4" s="1"/>
    </row>
    <row r="5" spans="2:15" x14ac:dyDescent="0.25">
      <c r="B5">
        <v>2015</v>
      </c>
      <c r="C5" s="3"/>
      <c r="D5" s="3"/>
      <c r="E5" s="3"/>
      <c r="G5" s="3"/>
      <c r="H5" s="3"/>
      <c r="I5" s="2"/>
      <c r="J5" s="2"/>
      <c r="K5" s="282"/>
      <c r="L5" s="3"/>
      <c r="M5" s="3"/>
      <c r="N5" s="3"/>
      <c r="O5" s="3">
        <f>SUM(C5:N5)</f>
        <v>0</v>
      </c>
    </row>
    <row r="6" spans="2:15" x14ac:dyDescent="0.25">
      <c r="B6">
        <v>2016</v>
      </c>
      <c r="C6" s="3"/>
      <c r="D6" s="3"/>
      <c r="E6" s="3"/>
      <c r="F6" s="3"/>
      <c r="G6" s="3"/>
      <c r="H6" s="3"/>
      <c r="I6" s="2"/>
      <c r="J6" s="2"/>
      <c r="K6" s="282"/>
      <c r="L6" s="3"/>
      <c r="M6" s="3"/>
      <c r="N6" s="3"/>
      <c r="O6" s="3">
        <f>SUM(C6:N6)</f>
        <v>0</v>
      </c>
    </row>
    <row r="7" spans="2:15" x14ac:dyDescent="0.25">
      <c r="B7">
        <v>2017</v>
      </c>
      <c r="C7" s="3">
        <v>1.1399999999999999</v>
      </c>
      <c r="D7" s="3">
        <v>10.31</v>
      </c>
      <c r="E7" s="3">
        <v>3.51</v>
      </c>
      <c r="F7" s="3">
        <v>6.37</v>
      </c>
      <c r="G7" s="3">
        <v>27.25</v>
      </c>
      <c r="H7" s="3">
        <v>53.53</v>
      </c>
      <c r="I7" s="2"/>
      <c r="J7" s="2"/>
      <c r="K7" s="1"/>
      <c r="L7" s="249"/>
      <c r="M7" s="1"/>
      <c r="O7" s="3">
        <f>SUM(C7:N7)</f>
        <v>102.11</v>
      </c>
    </row>
    <row r="8" spans="2:15" x14ac:dyDescent="0.25">
      <c r="B8">
        <v>2018</v>
      </c>
      <c r="C8" s="3"/>
      <c r="D8" s="3"/>
      <c r="E8" s="3"/>
      <c r="F8" s="3"/>
      <c r="G8" s="3"/>
      <c r="H8" s="3"/>
      <c r="I8" s="2"/>
      <c r="J8" s="2"/>
      <c r="K8" s="1"/>
      <c r="L8" s="3"/>
      <c r="M8" s="3"/>
    </row>
    <row r="88" spans="4:5" x14ac:dyDescent="0.25">
      <c r="D88">
        <v>26</v>
      </c>
      <c r="E88">
        <v>3600</v>
      </c>
    </row>
    <row r="89" spans="4:5" x14ac:dyDescent="0.25">
      <c r="D89">
        <v>27</v>
      </c>
      <c r="E89">
        <f>E88*1.04+E88*0.04</f>
        <v>3888</v>
      </c>
    </row>
    <row r="90" spans="4:5" x14ac:dyDescent="0.25">
      <c r="D90">
        <v>28</v>
      </c>
      <c r="E90">
        <f>E89*1.04+E89*0.04</f>
        <v>4199.04</v>
      </c>
    </row>
    <row r="91" spans="4:5" x14ac:dyDescent="0.25">
      <c r="D91">
        <v>29</v>
      </c>
      <c r="E91">
        <f t="shared" ref="E91:E122" si="0">E90*1.04+E90*0.04</f>
        <v>4534.9632000000001</v>
      </c>
    </row>
    <row r="92" spans="4:5" x14ac:dyDescent="0.25">
      <c r="D92">
        <v>30</v>
      </c>
      <c r="E92">
        <f t="shared" si="0"/>
        <v>4897.7602559999996</v>
      </c>
    </row>
    <row r="93" spans="4:5" x14ac:dyDescent="0.25">
      <c r="D93">
        <v>31</v>
      </c>
      <c r="E93">
        <f t="shared" si="0"/>
        <v>5289.5810764799999</v>
      </c>
    </row>
    <row r="94" spans="4:5" x14ac:dyDescent="0.25">
      <c r="D94">
        <v>32</v>
      </c>
      <c r="E94">
        <f t="shared" si="0"/>
        <v>5712.7475625983998</v>
      </c>
    </row>
    <row r="95" spans="4:5" x14ac:dyDescent="0.25">
      <c r="D95">
        <v>33</v>
      </c>
      <c r="E95">
        <f t="shared" si="0"/>
        <v>6169.7673676062723</v>
      </c>
    </row>
    <row r="96" spans="4:5" x14ac:dyDescent="0.25">
      <c r="D96">
        <v>34</v>
      </c>
      <c r="E96">
        <f t="shared" si="0"/>
        <v>6663.3487570147745</v>
      </c>
    </row>
    <row r="97" spans="4:5" x14ac:dyDescent="0.25">
      <c r="D97">
        <v>35</v>
      </c>
      <c r="E97">
        <f t="shared" si="0"/>
        <v>7196.4166575759564</v>
      </c>
    </row>
    <row r="98" spans="4:5" x14ac:dyDescent="0.25">
      <c r="D98">
        <v>36</v>
      </c>
      <c r="E98">
        <f t="shared" si="0"/>
        <v>7772.129990182033</v>
      </c>
    </row>
    <row r="99" spans="4:5" x14ac:dyDescent="0.25">
      <c r="D99">
        <v>37</v>
      </c>
      <c r="E99">
        <f t="shared" si="0"/>
        <v>8393.9003893965964</v>
      </c>
    </row>
    <row r="100" spans="4:5" x14ac:dyDescent="0.25">
      <c r="D100">
        <v>38</v>
      </c>
      <c r="E100">
        <f t="shared" si="0"/>
        <v>9065.412420548324</v>
      </c>
    </row>
    <row r="101" spans="4:5" x14ac:dyDescent="0.25">
      <c r="D101">
        <v>39</v>
      </c>
      <c r="E101">
        <f t="shared" si="0"/>
        <v>9790.6454141921895</v>
      </c>
    </row>
    <row r="102" spans="4:5" x14ac:dyDescent="0.25">
      <c r="D102">
        <v>40</v>
      </c>
      <c r="E102">
        <f t="shared" si="0"/>
        <v>10573.897047327566</v>
      </c>
    </row>
    <row r="103" spans="4:5" x14ac:dyDescent="0.25">
      <c r="D103">
        <v>41</v>
      </c>
      <c r="E103">
        <f t="shared" si="0"/>
        <v>11419.808811113771</v>
      </c>
    </row>
    <row r="104" spans="4:5" x14ac:dyDescent="0.25">
      <c r="D104">
        <v>42</v>
      </c>
      <c r="E104">
        <f t="shared" si="0"/>
        <v>12333.393516002872</v>
      </c>
    </row>
    <row r="105" spans="4:5" x14ac:dyDescent="0.25">
      <c r="D105">
        <v>43</v>
      </c>
      <c r="E105">
        <f t="shared" si="0"/>
        <v>13320.064997283103</v>
      </c>
    </row>
    <row r="106" spans="4:5" x14ac:dyDescent="0.25">
      <c r="D106">
        <v>44</v>
      </c>
      <c r="E106">
        <f t="shared" si="0"/>
        <v>14385.670197065752</v>
      </c>
    </row>
    <row r="107" spans="4:5" x14ac:dyDescent="0.25">
      <c r="D107">
        <v>45</v>
      </c>
      <c r="E107">
        <f t="shared" si="0"/>
        <v>15536.523812831012</v>
      </c>
    </row>
    <row r="108" spans="4:5" x14ac:dyDescent="0.25">
      <c r="D108">
        <v>46</v>
      </c>
      <c r="E108">
        <f t="shared" si="0"/>
        <v>16779.445717857496</v>
      </c>
    </row>
    <row r="109" spans="4:5" x14ac:dyDescent="0.25">
      <c r="D109">
        <v>47</v>
      </c>
      <c r="E109">
        <f t="shared" si="0"/>
        <v>18121.801375286093</v>
      </c>
    </row>
    <row r="110" spans="4:5" x14ac:dyDescent="0.25">
      <c r="D110">
        <v>48</v>
      </c>
      <c r="E110">
        <f t="shared" si="0"/>
        <v>19571.545485308983</v>
      </c>
    </row>
    <row r="111" spans="4:5" x14ac:dyDescent="0.25">
      <c r="D111">
        <v>49</v>
      </c>
      <c r="E111">
        <f t="shared" si="0"/>
        <v>21137.269124133702</v>
      </c>
    </row>
    <row r="112" spans="4:5" x14ac:dyDescent="0.25">
      <c r="D112">
        <v>50</v>
      </c>
      <c r="E112">
        <f t="shared" si="0"/>
        <v>22828.250654064399</v>
      </c>
    </row>
    <row r="113" spans="4:5" x14ac:dyDescent="0.25">
      <c r="D113">
        <v>51</v>
      </c>
      <c r="E113">
        <f t="shared" si="0"/>
        <v>24654.510706389552</v>
      </c>
    </row>
    <row r="114" spans="4:5" x14ac:dyDescent="0.25">
      <c r="D114">
        <v>52</v>
      </c>
      <c r="E114">
        <f t="shared" si="0"/>
        <v>26626.871562900717</v>
      </c>
    </row>
    <row r="115" spans="4:5" x14ac:dyDescent="0.25">
      <c r="D115">
        <v>53</v>
      </c>
      <c r="E115">
        <f t="shared" si="0"/>
        <v>28757.021287932774</v>
      </c>
    </row>
    <row r="116" spans="4:5" x14ac:dyDescent="0.25">
      <c r="D116">
        <v>54</v>
      </c>
      <c r="E116">
        <f t="shared" si="0"/>
        <v>31057.582990967399</v>
      </c>
    </row>
    <row r="117" spans="4:5" x14ac:dyDescent="0.25">
      <c r="D117">
        <v>55</v>
      </c>
      <c r="E117">
        <f t="shared" si="0"/>
        <v>33542.189630244793</v>
      </c>
    </row>
    <row r="118" spans="4:5" x14ac:dyDescent="0.25">
      <c r="D118">
        <v>56</v>
      </c>
      <c r="E118">
        <f t="shared" si="0"/>
        <v>36225.564800664382</v>
      </c>
    </row>
    <row r="119" spans="4:5" x14ac:dyDescent="0.25">
      <c r="D119">
        <v>57</v>
      </c>
      <c r="E119">
        <f t="shared" si="0"/>
        <v>39123.609984717528</v>
      </c>
    </row>
    <row r="120" spans="4:5" x14ac:dyDescent="0.25">
      <c r="D120">
        <v>58</v>
      </c>
      <c r="E120">
        <f t="shared" si="0"/>
        <v>42253.498783494935</v>
      </c>
    </row>
    <row r="121" spans="4:5" x14ac:dyDescent="0.25">
      <c r="D121">
        <v>59</v>
      </c>
      <c r="E121">
        <f t="shared" si="0"/>
        <v>45633.778686174534</v>
      </c>
    </row>
    <row r="122" spans="4:5" x14ac:dyDescent="0.25">
      <c r="D122">
        <v>60</v>
      </c>
      <c r="E122">
        <f t="shared" si="0"/>
        <v>49284.480981068496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28" zoomScale="90" zoomScaleNormal="90" workbookViewId="0">
      <selection activeCell="B57" sqref="B57"/>
    </sheetView>
  </sheetViews>
  <sheetFormatPr defaultRowHeight="15" x14ac:dyDescent="0.25"/>
  <cols>
    <col min="2" max="2" width="18.28515625" customWidth="1"/>
    <col min="3" max="3" width="14.85546875" customWidth="1"/>
    <col min="4" max="4" width="13.42578125" customWidth="1"/>
    <col min="5" max="5" width="16.7109375" customWidth="1"/>
    <col min="6" max="6" width="13.42578125" customWidth="1"/>
  </cols>
  <sheetData>
    <row r="1" spans="1:6" ht="15.75" thickBot="1" x14ac:dyDescent="0.3"/>
    <row r="2" spans="1:6" ht="30.75" thickBot="1" x14ac:dyDescent="0.3">
      <c r="B2" s="252" t="s">
        <v>261</v>
      </c>
      <c r="C2" s="264" t="s">
        <v>173</v>
      </c>
      <c r="D2" s="265" t="s">
        <v>262</v>
      </c>
      <c r="E2" s="265" t="s">
        <v>275</v>
      </c>
      <c r="F2" s="266" t="s">
        <v>276</v>
      </c>
    </row>
    <row r="3" spans="1:6" ht="30" x14ac:dyDescent="0.25">
      <c r="A3">
        <v>1</v>
      </c>
      <c r="B3" s="270" t="s">
        <v>263</v>
      </c>
      <c r="C3" s="262">
        <f>SUMIF('Portfolio Formatted'!$P$6:$P$93, "=Consumer Discretionary", 'Portfolio Formatted'!$M$6:$M$93)</f>
        <v>2634.6333</v>
      </c>
      <c r="D3" s="263">
        <f>C3/$C$14</f>
        <v>3.2465071028204028E-2</v>
      </c>
      <c r="E3" s="61">
        <f>SUMIF('Portfolio Formatted'!$P$6:$P$93, "=Consumer Discretionary", 'Portfolio Formatted'!$O$6:$O$93)</f>
        <v>38.461800000000004</v>
      </c>
      <c r="F3" s="267">
        <f>E3/$E$14</f>
        <v>1.2189834660777631E-2</v>
      </c>
    </row>
    <row r="4" spans="1:6" x14ac:dyDescent="0.25">
      <c r="A4">
        <v>2</v>
      </c>
      <c r="B4" s="271" t="s">
        <v>264</v>
      </c>
      <c r="C4" s="256">
        <f>SUMIF('Portfolio Formatted'!$P$6:$P$93, "=Consumer Staples", 'Portfolio Formatted'!$M$6:$M$93)</f>
        <v>7751.3509072299994</v>
      </c>
      <c r="D4" s="254">
        <f t="shared" ref="D4:D13" si="0">C4/$C$14</f>
        <v>9.5515439574742969E-2</v>
      </c>
      <c r="E4" s="26">
        <f>SUMIF('Portfolio Formatted'!$P$6:$P$93, "=Consumer Staples", 'Portfolio Formatted'!$O$6:$O$93)</f>
        <v>224.1774556</v>
      </c>
      <c r="F4" s="268">
        <f t="shared" ref="F4:F13" si="1">E4/$E$14</f>
        <v>7.1049355943762854E-2</v>
      </c>
    </row>
    <row r="5" spans="1:6" x14ac:dyDescent="0.25">
      <c r="A5">
        <v>3</v>
      </c>
      <c r="B5" s="271" t="s">
        <v>265</v>
      </c>
      <c r="C5" s="256">
        <f>SUMIF('Portfolio Formatted'!$P$6:$P$93, "=Energy", 'Portfolio Formatted'!$M$6:$M$93)</f>
        <v>18871.735787130001</v>
      </c>
      <c r="D5" s="254">
        <f t="shared" si="0"/>
        <v>0.23254554732708924</v>
      </c>
      <c r="E5" s="26">
        <f>SUMIF('Portfolio Formatted'!$P$6:$P$93, "=Energy", 'Portfolio Formatted'!$O$6:$O$93)</f>
        <v>898.78151564000007</v>
      </c>
      <c r="F5" s="268">
        <f t="shared" si="1"/>
        <v>0.28485401285989537</v>
      </c>
    </row>
    <row r="6" spans="1:6" x14ac:dyDescent="0.25">
      <c r="A6">
        <v>4</v>
      </c>
      <c r="B6" s="271" t="s">
        <v>266</v>
      </c>
      <c r="C6" s="256">
        <f>SUMIF('Portfolio Formatted'!$P$6:$P$93, "=Financials", 'Portfolio Formatted'!$M$6:$M$93)</f>
        <v>9725.7095200000003</v>
      </c>
      <c r="D6" s="254">
        <f t="shared" si="0"/>
        <v>0.11984432534367501</v>
      </c>
      <c r="E6" s="26">
        <f>SUMIF('Portfolio Formatted'!$P$6:$P$93, "=Financials", 'Portfolio Formatted'!$O$6:$O$93)</f>
        <v>409.35145999999997</v>
      </c>
      <c r="F6" s="268">
        <f t="shared" si="1"/>
        <v>0.12973720979121953</v>
      </c>
    </row>
    <row r="7" spans="1:6" x14ac:dyDescent="0.25">
      <c r="A7">
        <v>5</v>
      </c>
      <c r="B7" s="271" t="s">
        <v>274</v>
      </c>
      <c r="C7" s="256">
        <f>SUMIF('Portfolio Formatted'!$P$6:$P$93, "=Real Estate", 'Portfolio Formatted'!$M$6:$M$93)</f>
        <v>19441.9028</v>
      </c>
      <c r="D7" s="254">
        <f t="shared" si="0"/>
        <v>0.23957138753443932</v>
      </c>
      <c r="E7" s="26">
        <f>SUMIF('Portfolio Formatted'!$P$6:$P$93, "=Real Estate", 'Portfolio Formatted'!$O$6:$O$93)</f>
        <v>949.637968</v>
      </c>
      <c r="F7" s="268">
        <f t="shared" si="1"/>
        <v>0.30097212864496298</v>
      </c>
    </row>
    <row r="8" spans="1:6" x14ac:dyDescent="0.25">
      <c r="A8">
        <v>6</v>
      </c>
      <c r="B8" s="271" t="s">
        <v>267</v>
      </c>
      <c r="C8" s="256">
        <f>SUMIF('Portfolio Formatted'!$P$6:$P$93, "=Health Care", 'Portfolio Formatted'!$M$6:$M$93)</f>
        <v>336.30591489</v>
      </c>
      <c r="D8" s="254">
        <f t="shared" si="0"/>
        <v>4.1441043860293526E-3</v>
      </c>
      <c r="E8" s="26">
        <f>SUMIF('Portfolio Formatted'!$P$6:$P$93, "=Health Care", 'Portfolio Formatted'!$O$6:$O$93)</f>
        <v>11.89312256</v>
      </c>
      <c r="F8" s="268">
        <f t="shared" si="1"/>
        <v>3.7693295063352308E-3</v>
      </c>
    </row>
    <row r="9" spans="1:6" x14ac:dyDescent="0.25">
      <c r="A9">
        <v>7</v>
      </c>
      <c r="B9" s="271" t="s">
        <v>268</v>
      </c>
      <c r="C9" s="256">
        <f>SUMIF('Portfolio Formatted'!$P$6:$P$93, "=Industrial", 'Portfolio Formatted'!$M$6:$M$93)</f>
        <v>6291.2116048300004</v>
      </c>
      <c r="D9" s="254">
        <f t="shared" si="0"/>
        <v>7.7522982649717284E-2</v>
      </c>
      <c r="E9" s="26">
        <f>SUMIF('Portfolio Formatted'!$P$6:$P$93, "=Industrial", 'Portfolio Formatted'!$O$6:$O$93)</f>
        <v>276.10099010000005</v>
      </c>
      <c r="F9" s="268">
        <f t="shared" si="1"/>
        <v>8.7505665855368231E-2</v>
      </c>
    </row>
    <row r="10" spans="1:6" ht="30" x14ac:dyDescent="0.25">
      <c r="A10">
        <v>8</v>
      </c>
      <c r="B10" s="271" t="s">
        <v>269</v>
      </c>
      <c r="C10" s="256">
        <f>SUMIF('Portfolio Formatted'!$P$6:$P$93, "=Information Technology", 'Portfolio Formatted'!$M$6:$M$93)</f>
        <v>6625.5231200000007</v>
      </c>
      <c r="D10" s="254">
        <f t="shared" si="0"/>
        <v>8.164251119493858E-2</v>
      </c>
      <c r="E10" s="26">
        <f>SUMIF('Portfolio Formatted'!$P$6:$P$93, "=Information Technology", 'Portfolio Formatted'!$O$6:$O$93)</f>
        <v>43.292400000000001</v>
      </c>
      <c r="F10" s="268">
        <f t="shared" si="1"/>
        <v>1.3720813848240318E-2</v>
      </c>
    </row>
    <row r="11" spans="1:6" x14ac:dyDescent="0.25">
      <c r="A11">
        <v>9</v>
      </c>
      <c r="B11" s="271" t="s">
        <v>270</v>
      </c>
      <c r="C11" s="256">
        <f>SUMIF('Portfolio Formatted'!$P$6:$P$93, "=Materials", 'Portfolio Formatted'!$M$6:$M$93)</f>
        <v>3707.049</v>
      </c>
      <c r="D11" s="254">
        <f t="shared" si="0"/>
        <v>4.5679832973352576E-2</v>
      </c>
      <c r="E11" s="26">
        <f>SUMIF('Portfolio Formatted'!$P$6:$P$93, "=Materials", 'Portfolio Formatted'!$O$6:$O$93)</f>
        <v>189.65208888888893</v>
      </c>
      <c r="F11" s="268">
        <f t="shared" si="1"/>
        <v>6.0107109043951619E-2</v>
      </c>
    </row>
    <row r="12" spans="1:6" ht="30" x14ac:dyDescent="0.25">
      <c r="A12">
        <v>10</v>
      </c>
      <c r="B12" s="271" t="s">
        <v>271</v>
      </c>
      <c r="C12" s="256">
        <f>SUMIF('Portfolio Formatted'!$P$6:$P$93, "=Telecommunication Services", 'Portfolio Formatted'!$M$6:$M$93)</f>
        <v>1842.6085057600003</v>
      </c>
      <c r="D12" s="254">
        <f t="shared" si="0"/>
        <v>2.270540496723825E-2</v>
      </c>
      <c r="E12" s="26">
        <f>SUMIF('Portfolio Formatted'!$P$6:$P$93, "=Telecommunication Services", 'Portfolio Formatted'!$O$6:$O$93)</f>
        <v>94.924746839999997</v>
      </c>
      <c r="F12" s="268">
        <f t="shared" si="1"/>
        <v>3.0084836622201086E-2</v>
      </c>
    </row>
    <row r="13" spans="1:6" ht="15.75" thickBot="1" x14ac:dyDescent="0.3">
      <c r="A13">
        <v>11</v>
      </c>
      <c r="B13" s="272" t="s">
        <v>272</v>
      </c>
      <c r="C13" s="257">
        <f>SUMIF('Portfolio Formatted'!$P$6:$P$93, "=Utilities", 'Portfolio Formatted'!$M$6:$M$93)</f>
        <v>831.13756751999995</v>
      </c>
      <c r="D13" s="255">
        <f t="shared" si="0"/>
        <v>1.0241630273080326E-2</v>
      </c>
      <c r="E13" s="253">
        <f>SUMIF('Portfolio Formatted'!$P$6:$P$93, "=Utilities", 'Portfolio Formatted'!$O$6:$O$93)</f>
        <v>18.9620294176</v>
      </c>
      <c r="F13" s="269">
        <f t="shared" si="1"/>
        <v>6.0097032232850657E-3</v>
      </c>
    </row>
    <row r="14" spans="1:6" ht="16.5" thickTop="1" thickBot="1" x14ac:dyDescent="0.3">
      <c r="B14" s="261" t="s">
        <v>65</v>
      </c>
      <c r="C14" s="258">
        <f>'Portfolio Formatted'!M67+'Portfolio Formatted'!M82+'Portfolio Formatted'!M90+'Portfolio Formatted'!M32+'Portfolio Formatted'!M94</f>
        <v>81152.858027360009</v>
      </c>
      <c r="D14" s="259"/>
      <c r="E14" s="259">
        <f>SUM(E3:E13)</f>
        <v>3155.2355770464892</v>
      </c>
      <c r="F14" s="260"/>
    </row>
    <row r="15" spans="1:6" x14ac:dyDescent="0.25">
      <c r="E15" s="3">
        <f>E14-'Portfolio Formatted'!U97</f>
        <v>-3.1959999999999127</v>
      </c>
    </row>
    <row r="16" spans="1:6" x14ac:dyDescent="0.25">
      <c r="C16" t="s">
        <v>173</v>
      </c>
      <c r="D16" t="s">
        <v>277</v>
      </c>
    </row>
    <row r="17" spans="2:4" x14ac:dyDescent="0.25">
      <c r="B17" t="str">
        <f>'Portfolio Formatted'!C6</f>
        <v>Chesapeake Energy</v>
      </c>
      <c r="C17" s="3">
        <f>'Portfolio Formatted'!M6</f>
        <v>486.00000000000006</v>
      </c>
      <c r="D17" s="1">
        <f>C17/$C$58</f>
        <v>6.0253460251479913E-3</v>
      </c>
    </row>
    <row r="18" spans="2:4" x14ac:dyDescent="0.25">
      <c r="B18" t="str">
        <f>'Portfolio Formatted'!C9</f>
        <v>Fidelity Real Estate</v>
      </c>
      <c r="C18" s="3">
        <f>'Portfolio Formatted'!M9</f>
        <v>401.74340999999998</v>
      </c>
      <c r="D18" s="1">
        <f>C18/$C$58</f>
        <v>4.9807470341006162E-3</v>
      </c>
    </row>
    <row r="19" spans="2:4" x14ac:dyDescent="0.25">
      <c r="B19" t="str">
        <f>'Portfolio Formatted'!C10</f>
        <v>Hershey</v>
      </c>
      <c r="C19" s="3">
        <f>'Portfolio Formatted'!M10</f>
        <v>2324.4876300000001</v>
      </c>
      <c r="D19" s="1">
        <f>C19/$C$58</f>
        <v>2.8818605559518876E-2</v>
      </c>
    </row>
    <row r="20" spans="2:4" x14ac:dyDescent="0.25">
      <c r="B20" t="str">
        <f>'Portfolio Formatted'!C11</f>
        <v>Icahn Enterprises</v>
      </c>
      <c r="C20" s="3">
        <f>'Portfolio Formatted'!M11+'Portfolio Formatted'!M49</f>
        <v>1011.269</v>
      </c>
      <c r="D20" s="1">
        <f>C20/$C$58</f>
        <v>1.2537542488694205E-2</v>
      </c>
    </row>
    <row r="21" spans="2:4" x14ac:dyDescent="0.25">
      <c r="B21" t="str">
        <f>'Portfolio Formatted'!C14</f>
        <v>Kinder Morgan</v>
      </c>
      <c r="C21" s="3">
        <f>'Portfolio Formatted'!M14</f>
        <v>2134.0820399999998</v>
      </c>
      <c r="D21" s="1">
        <f>C21/$C$58</f>
        <v>2.6457989170892416E-2</v>
      </c>
    </row>
    <row r="22" spans="2:4" x14ac:dyDescent="0.25">
      <c r="B22" t="str">
        <f>'Portfolio Formatted'!C15</f>
        <v>Lilis Energy</v>
      </c>
      <c r="C22" s="3">
        <f>'Portfolio Formatted'!M15</f>
        <v>2279.16</v>
      </c>
      <c r="D22" s="1">
        <f>C22/C58</f>
        <v>2.8256641248305132E-2</v>
      </c>
    </row>
    <row r="23" spans="2:4" x14ac:dyDescent="0.25">
      <c r="B23" t="str">
        <f>'Portfolio Formatted'!C16</f>
        <v>Realty Income Corp</v>
      </c>
      <c r="C23" s="3">
        <f>'Portfolio Formatted'!M16</f>
        <v>6407.9975700000005</v>
      </c>
      <c r="D23" s="1">
        <f>C23/$C$58</f>
        <v>7.9445273019665613E-2</v>
      </c>
    </row>
    <row r="24" spans="2:4" x14ac:dyDescent="0.25">
      <c r="B24" t="str">
        <f>'Portfolio Formatted'!C19</f>
        <v>Main Street Capital</v>
      </c>
      <c r="C24" s="3">
        <f>'Portfolio Formatted'!M19</f>
        <v>3110.0810199999996</v>
      </c>
      <c r="D24" s="1">
        <f>C24/$C$58</f>
        <v>3.8558259900710302E-2</v>
      </c>
    </row>
    <row r="25" spans="2:4" x14ac:dyDescent="0.25">
      <c r="B25" t="str">
        <f>'Portfolio Formatted'!C20</f>
        <v>Phillips 66</v>
      </c>
      <c r="C25" s="3">
        <f>'Portfolio Formatted'!M20</f>
        <v>3379.3174300000001</v>
      </c>
      <c r="D25" s="1">
        <f>C25/$C$58</f>
        <v>4.1896207499102521E-2</v>
      </c>
    </row>
    <row r="26" spans="2:4" x14ac:dyDescent="0.25">
      <c r="B26" t="str">
        <f>'Portfolio Formatted'!C22</f>
        <v>Royal Dutch Shell</v>
      </c>
      <c r="C26" s="3">
        <f>'Portfolio Formatted'!M22</f>
        <v>6151.62</v>
      </c>
      <c r="D26" s="1">
        <f>C26/$C$58</f>
        <v>7.6266747150660258E-2</v>
      </c>
    </row>
    <row r="27" spans="2:4" x14ac:dyDescent="0.25">
      <c r="B27" t="str">
        <f>'Portfolio Formatted'!C23</f>
        <v>Seadrill Partners</v>
      </c>
      <c r="C27" s="3">
        <f>'Portfolio Formatted'!M23</f>
        <v>1705.5998400000001</v>
      </c>
      <c r="D27" s="1">
        <f>C27/$C$58</f>
        <v>2.1145739128471296E-2</v>
      </c>
    </row>
    <row r="28" spans="2:4" x14ac:dyDescent="0.25">
      <c r="B28" t="s">
        <v>283</v>
      </c>
      <c r="C28" s="3">
        <f>'Portfolio Formatted'!M24</f>
        <v>2600.1</v>
      </c>
      <c r="D28" s="1">
        <f>C28/C58</f>
        <v>3.223560123454175E-2</v>
      </c>
    </row>
    <row r="29" spans="2:4" x14ac:dyDescent="0.25">
      <c r="B29" t="str">
        <f>'Portfolio Formatted'!C25</f>
        <v>STAG Industries</v>
      </c>
      <c r="C29" s="3">
        <f>'Portfolio Formatted'!M25</f>
        <v>3093.5694400000002</v>
      </c>
      <c r="D29" s="1">
        <f t="shared" ref="D29:D56" si="2">C29/$C$58</f>
        <v>3.8353552116920368E-2</v>
      </c>
    </row>
    <row r="30" spans="2:4" x14ac:dyDescent="0.25">
      <c r="B30" t="str">
        <f>'Portfolio Formatted'!C26</f>
        <v>Starwood Property Trust</v>
      </c>
      <c r="C30" s="3">
        <f>'Portfolio Formatted'!M26</f>
        <v>1287.86736</v>
      </c>
      <c r="D30" s="1">
        <f t="shared" si="2"/>
        <v>1.5966762301427646E-2</v>
      </c>
    </row>
    <row r="31" spans="2:4" x14ac:dyDescent="0.25">
      <c r="B31" t="str">
        <f>'Portfolio Formatted'!C27</f>
        <v>Suncor Energy</v>
      </c>
      <c r="C31" s="3">
        <f>'Portfolio Formatted'!M27</f>
        <v>506.68195000000003</v>
      </c>
      <c r="D31" s="1">
        <f t="shared" si="2"/>
        <v>6.2817573527710561E-3</v>
      </c>
    </row>
    <row r="32" spans="2:4" x14ac:dyDescent="0.25">
      <c r="B32" t="str">
        <f>'Portfolio Formatted'!C28</f>
        <v>Skyworks Solutions</v>
      </c>
      <c r="C32" s="3">
        <f>'Portfolio Formatted'!M28</f>
        <v>1214.2542000000001</v>
      </c>
      <c r="D32" s="1">
        <f t="shared" si="2"/>
        <v>1.5054118760265954E-2</v>
      </c>
    </row>
    <row r="33" spans="2:4" x14ac:dyDescent="0.25">
      <c r="B33" t="str">
        <f>'Portfolio Formatted'!C29</f>
        <v>Union Pacific</v>
      </c>
      <c r="C33" s="3">
        <f>'Portfolio Formatted'!M29</f>
        <v>1864.64411</v>
      </c>
      <c r="D33" s="1">
        <f t="shared" si="2"/>
        <v>2.3117543161531098E-2</v>
      </c>
    </row>
    <row r="34" spans="2:4" x14ac:dyDescent="0.25">
      <c r="B34" t="str">
        <f>'Portfolio Formatted'!C30</f>
        <v>Wells Fargo</v>
      </c>
      <c r="C34" s="3">
        <f>'Portfolio Formatted'!M30</f>
        <v>6213.8850899999998</v>
      </c>
      <c r="D34" s="1">
        <f t="shared" si="2"/>
        <v>7.7038699234069682E-2</v>
      </c>
    </row>
    <row r="35" spans="2:4" x14ac:dyDescent="0.25">
      <c r="B35" t="str">
        <f>'Portfolio Formatted'!C40</f>
        <v>BHP Billiton</v>
      </c>
      <c r="C35" s="3">
        <f>'Portfolio Formatted'!M40</f>
        <v>3593.1990000000001</v>
      </c>
      <c r="D35" s="1">
        <f t="shared" si="2"/>
        <v>4.4547875128015918E-2</v>
      </c>
    </row>
    <row r="36" spans="2:4" x14ac:dyDescent="0.25">
      <c r="B36" t="str">
        <f>'Portfolio Formatted'!C43</f>
        <v>Cyrus One</v>
      </c>
      <c r="C36" s="3">
        <f>'Portfolio Formatted'!M43</f>
        <v>3978.5964500000005</v>
      </c>
      <c r="D36" s="1">
        <f t="shared" si="2"/>
        <v>4.9325967707151051E-2</v>
      </c>
    </row>
    <row r="37" spans="2:4" x14ac:dyDescent="0.25">
      <c r="B37" t="str">
        <f>'Portfolio Formatted'!C44</f>
        <v>Disney</v>
      </c>
      <c r="C37" s="3">
        <f>'Portfolio Formatted'!M44</f>
        <v>2634.6333</v>
      </c>
      <c r="D37" s="1">
        <f t="shared" si="2"/>
        <v>3.26637392631225E-2</v>
      </c>
    </row>
    <row r="38" spans="2:4" x14ac:dyDescent="0.25">
      <c r="B38" t="str">
        <f>'Portfolio Formatted'!C46</f>
        <v>First Solar</v>
      </c>
      <c r="C38" s="3">
        <f>'Portfolio Formatted'!M46</f>
        <v>4656.3500000000004</v>
      </c>
      <c r="D38" s="1">
        <f t="shared" si="2"/>
        <v>5.7728641901641668E-2</v>
      </c>
    </row>
    <row r="39" spans="2:4" x14ac:dyDescent="0.25">
      <c r="B39" t="str">
        <f>'Portfolio Formatted'!C47</f>
        <v>General Electric</v>
      </c>
      <c r="C39" s="3">
        <f>'Portfolio Formatted'!M47</f>
        <v>2989.0633199999997</v>
      </c>
      <c r="D39" s="1">
        <f t="shared" si="2"/>
        <v>3.7057902868472541E-2</v>
      </c>
    </row>
    <row r="40" spans="2:4" x14ac:dyDescent="0.25">
      <c r="B40" t="str">
        <f>'Portfolio Formatted'!C62</f>
        <v>South32</v>
      </c>
      <c r="C40" s="3">
        <f>'Portfolio Formatted'!M62</f>
        <v>113.85</v>
      </c>
      <c r="D40" s="1">
        <f t="shared" si="2"/>
        <v>1.4114930966318904E-3</v>
      </c>
    </row>
    <row r="41" spans="2:4" x14ac:dyDescent="0.25">
      <c r="B41" t="str">
        <f>'Portfolio Formatted'!C65</f>
        <v>Verizon</v>
      </c>
      <c r="C41" s="3">
        <f>'Portfolio Formatted'!M65</f>
        <v>1390.0400000000002</v>
      </c>
      <c r="D41" s="1">
        <f t="shared" si="2"/>
        <v>1.7233481458429453E-2</v>
      </c>
    </row>
    <row r="42" spans="2:4" x14ac:dyDescent="0.25">
      <c r="B42" t="str">
        <f>'Portfolio Formatted'!C66</f>
        <v>W.P. Carey</v>
      </c>
      <c r="C42" s="3">
        <f>'Portfolio Formatted'!M66</f>
        <v>4417.7996599999997</v>
      </c>
      <c r="D42" s="1">
        <f t="shared" si="2"/>
        <v>5.4771135023212229E-2</v>
      </c>
    </row>
    <row r="43" spans="2:4" x14ac:dyDescent="0.25">
      <c r="B43" t="str">
        <f>'Portfolio Formatted'!C71</f>
        <v>Abbvie</v>
      </c>
      <c r="C43" s="3">
        <f>'Portfolio Formatted'!M71</f>
        <v>336.30591489</v>
      </c>
      <c r="D43" s="1">
        <f t="shared" si="2"/>
        <v>4.1694640072350211E-3</v>
      </c>
    </row>
    <row r="44" spans="2:4" x14ac:dyDescent="0.25">
      <c r="B44" t="str">
        <f>'Portfolio Formatted'!C72</f>
        <v>Altria Group</v>
      </c>
      <c r="C44" s="3">
        <f>'Portfolio Formatted'!M72</f>
        <v>1193.9591975199999</v>
      </c>
      <c r="D44" s="1">
        <f t="shared" si="2"/>
        <v>1.4802504742728428E-2</v>
      </c>
    </row>
    <row r="45" spans="2:4" x14ac:dyDescent="0.25">
      <c r="B45" t="str">
        <f>'Portfolio Formatted'!C73</f>
        <v>Aqua America</v>
      </c>
      <c r="C45" s="3">
        <f>'Portfolio Formatted'!M73</f>
        <v>831.13756751999995</v>
      </c>
      <c r="D45" s="1">
        <f t="shared" si="2"/>
        <v>1.0304303372032513E-2</v>
      </c>
    </row>
    <row r="46" spans="2:4" x14ac:dyDescent="0.25">
      <c r="B46" t="str">
        <f>'Portfolio Formatted'!C74</f>
        <v>Dr. Pepper Snapple Co.</v>
      </c>
      <c r="C46" s="3">
        <f>'Portfolio Formatted'!M74</f>
        <v>654.12888540999995</v>
      </c>
      <c r="D46" s="1">
        <f t="shared" si="2"/>
        <v>8.1097795877358627E-3</v>
      </c>
    </row>
    <row r="47" spans="2:4" x14ac:dyDescent="0.25">
      <c r="B47" t="str">
        <f>'Portfolio Formatted'!C75</f>
        <v>Exxon Mobil</v>
      </c>
      <c r="C47" s="3">
        <f>'Portfolio Formatted'!M75</f>
        <v>2229.27452713</v>
      </c>
      <c r="D47" s="1">
        <f t="shared" si="2"/>
        <v>2.7638169569972042E-2</v>
      </c>
    </row>
    <row r="48" spans="2:4" x14ac:dyDescent="0.25">
      <c r="B48" t="str">
        <f>'Portfolio Formatted'!C76</f>
        <v>International Business Machines</v>
      </c>
      <c r="C48" s="3">
        <f>'Portfolio Formatted'!M76</f>
        <v>754.91891999999996</v>
      </c>
      <c r="D48" s="1">
        <f t="shared" si="2"/>
        <v>9.3593574360720452E-3</v>
      </c>
    </row>
    <row r="49" spans="2:4" x14ac:dyDescent="0.25">
      <c r="B49" t="str">
        <f>'Portfolio Formatted'!C78</f>
        <v>Philip Morris</v>
      </c>
      <c r="C49" s="3">
        <f>'Portfolio Formatted'!M78</f>
        <v>2365.5302154000001</v>
      </c>
      <c r="D49" s="1">
        <f t="shared" si="2"/>
        <v>2.9327444610551156E-2</v>
      </c>
    </row>
    <row r="50" spans="2:4" x14ac:dyDescent="0.25">
      <c r="B50" t="str">
        <f>'Portfolio Formatted'!C79</f>
        <v>Clorox</v>
      </c>
      <c r="C50" s="3">
        <f>'Portfolio Formatted'!M79</f>
        <v>633.20165889999998</v>
      </c>
      <c r="D50" s="1">
        <f t="shared" si="2"/>
        <v>7.8503273633132274E-3</v>
      </c>
    </row>
    <row r="51" spans="2:4" x14ac:dyDescent="0.25">
      <c r="B51" t="str">
        <f>'Portfolio Formatted'!C80</f>
        <v>Verizon</v>
      </c>
      <c r="C51" s="3">
        <f>'Portfolio Formatted'!M80</f>
        <v>452.56850576000005</v>
      </c>
      <c r="D51" s="1">
        <f t="shared" si="2"/>
        <v>5.6108679985353536E-3</v>
      </c>
    </row>
    <row r="52" spans="2:4" x14ac:dyDescent="0.25">
      <c r="B52" t="str">
        <f>'Portfolio Formatted'!C81</f>
        <v>Waste Management</v>
      </c>
      <c r="C52" s="3">
        <f>'Portfolio Formatted'!M81</f>
        <v>426.23517482999995</v>
      </c>
      <c r="D52" s="1">
        <f t="shared" si="2"/>
        <v>5.2843918033748955E-3</v>
      </c>
    </row>
    <row r="53" spans="2:4" x14ac:dyDescent="0.25">
      <c r="B53" t="str">
        <f>'Portfolio Formatted'!C86</f>
        <v>General Mills, Inc.</v>
      </c>
      <c r="C53" s="3">
        <f>'Portfolio Formatted'!M86</f>
        <v>104.181</v>
      </c>
      <c r="D53" s="1">
        <f t="shared" si="2"/>
        <v>1.2916184655266314E-3</v>
      </c>
    </row>
    <row r="54" spans="2:4" x14ac:dyDescent="0.25">
      <c r="B54" t="str">
        <f>'Portfolio Formatted'!C87</f>
        <v>McCormick &amp; Company</v>
      </c>
      <c r="C54" s="3">
        <f>'Portfolio Formatted'!M87</f>
        <v>63.365020000000001</v>
      </c>
      <c r="D54" s="1">
        <f t="shared" si="2"/>
        <v>7.8558883002144636E-4</v>
      </c>
    </row>
    <row r="55" spans="2:4" x14ac:dyDescent="0.25">
      <c r="B55" t="str">
        <f>'Portfolio Formatted'!C88</f>
        <v>Realty Income Corp</v>
      </c>
      <c r="C55" s="3">
        <f>'Portfolio Formatted'!M88</f>
        <v>256.07231999999999</v>
      </c>
      <c r="D55" s="1">
        <f t="shared" si="2"/>
        <v>3.1747414309926426E-3</v>
      </c>
    </row>
    <row r="56" spans="2:4" x14ac:dyDescent="0.25">
      <c r="B56" t="str">
        <f>'Portfolio Formatted'!C89</f>
        <v>Proctor and Gamble</v>
      </c>
      <c r="C56" s="3">
        <f>'Portfolio Formatted'!M89</f>
        <v>412.4973</v>
      </c>
      <c r="D56" s="1">
        <f t="shared" si="2"/>
        <v>5.1140719484347287E-3</v>
      </c>
    </row>
    <row r="57" spans="2:4" x14ac:dyDescent="0.25">
      <c r="C57" s="3">
        <f>'Portfolio Formatted'!M93</f>
        <v>0</v>
      </c>
      <c r="D57" s="1">
        <f>C57/C58</f>
        <v>0</v>
      </c>
    </row>
    <row r="58" spans="2:4" x14ac:dyDescent="0.25">
      <c r="C58" s="3">
        <f>SUM(C17:C57)</f>
        <v>80659.268027359998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8"/>
  <sheetViews>
    <sheetView workbookViewId="0">
      <selection activeCell="B5" sqref="B5"/>
    </sheetView>
  </sheetViews>
  <sheetFormatPr defaultRowHeight="15" x14ac:dyDescent="0.25"/>
  <cols>
    <col min="1" max="1" width="17.28515625" bestFit="1" customWidth="1"/>
    <col min="4" max="4" width="16.28515625" customWidth="1"/>
    <col min="5" max="5" width="22.7109375" bestFit="1" customWidth="1"/>
    <col min="6" max="6" width="22.42578125" customWidth="1"/>
  </cols>
  <sheetData>
    <row r="1" spans="1:6" x14ac:dyDescent="0.25">
      <c r="A1" t="s">
        <v>27</v>
      </c>
      <c r="E1" s="283" t="s">
        <v>28</v>
      </c>
      <c r="F1" s="283"/>
    </row>
    <row r="2" spans="1:6" x14ac:dyDescent="0.25">
      <c r="A2" t="s">
        <v>26</v>
      </c>
      <c r="B2" s="2">
        <v>54.69</v>
      </c>
      <c r="E2" t="s">
        <v>16</v>
      </c>
      <c r="F2">
        <f>B148</f>
        <v>313.52121358197024</v>
      </c>
    </row>
    <row r="3" spans="1:6" x14ac:dyDescent="0.25">
      <c r="A3" t="s">
        <v>24</v>
      </c>
      <c r="B3">
        <v>70.55</v>
      </c>
      <c r="E3" t="s">
        <v>29</v>
      </c>
      <c r="F3" s="3">
        <f>B2*F2</f>
        <v>17146.475170797952</v>
      </c>
    </row>
    <row r="4" spans="1:6" x14ac:dyDescent="0.25">
      <c r="A4" t="s">
        <v>25</v>
      </c>
      <c r="B4" s="4">
        <v>0.03</v>
      </c>
      <c r="E4" t="s">
        <v>30</v>
      </c>
      <c r="F4" s="3">
        <f>(B4/4)*F3</f>
        <v>128.59856378098465</v>
      </c>
    </row>
    <row r="5" spans="1:6" x14ac:dyDescent="0.25">
      <c r="A5" t="s">
        <v>120</v>
      </c>
      <c r="B5" s="4">
        <v>0.02</v>
      </c>
      <c r="E5" t="s">
        <v>31</v>
      </c>
      <c r="F5">
        <f>B4*F3</f>
        <v>514.39425512393859</v>
      </c>
    </row>
    <row r="6" spans="1:6" x14ac:dyDescent="0.25">
      <c r="E6" t="s">
        <v>43</v>
      </c>
      <c r="F6" s="1">
        <f>F2/B3</f>
        <v>4.4439576694822147</v>
      </c>
    </row>
    <row r="7" spans="1:6" x14ac:dyDescent="0.25">
      <c r="A7" t="s">
        <v>15</v>
      </c>
      <c r="B7" t="s">
        <v>16</v>
      </c>
      <c r="C7" s="1" t="s">
        <v>23</v>
      </c>
      <c r="D7" s="1" t="s">
        <v>121</v>
      </c>
      <c r="E7" t="s">
        <v>44</v>
      </c>
      <c r="F7" s="4">
        <f>(((F2/B3))^(1/35))-1</f>
        <v>4.3536662754920963E-2</v>
      </c>
    </row>
    <row r="8" spans="1:6" x14ac:dyDescent="0.25">
      <c r="A8">
        <v>0</v>
      </c>
      <c r="B8">
        <f>B3</f>
        <v>70.55</v>
      </c>
      <c r="C8">
        <f>B8*(($B$4)*D8/4)</f>
        <v>0.52912499999999996</v>
      </c>
      <c r="D8">
        <v>1</v>
      </c>
      <c r="F8" t="s">
        <v>32</v>
      </c>
    </row>
    <row r="9" spans="1:6" x14ac:dyDescent="0.25">
      <c r="A9">
        <v>0.25</v>
      </c>
      <c r="B9">
        <f t="shared" ref="B9:B40" si="0">B8+C8</f>
        <v>71.079124999999991</v>
      </c>
      <c r="C9">
        <f t="shared" ref="C9:C72" si="1">B9*(($B$4)*D9/4)</f>
        <v>0.53309343749999993</v>
      </c>
      <c r="D9">
        <v>1</v>
      </c>
    </row>
    <row r="10" spans="1:6" x14ac:dyDescent="0.25">
      <c r="A10">
        <f>A9+0.25</f>
        <v>0.5</v>
      </c>
      <c r="B10">
        <f t="shared" si="0"/>
        <v>71.61221843749999</v>
      </c>
      <c r="C10">
        <f t="shared" si="1"/>
        <v>0.53709163828124995</v>
      </c>
      <c r="D10">
        <v>1</v>
      </c>
    </row>
    <row r="11" spans="1:6" x14ac:dyDescent="0.25">
      <c r="A11">
        <f t="shared" ref="A11:A74" si="2">A10+0.25</f>
        <v>0.75</v>
      </c>
      <c r="B11">
        <f t="shared" si="0"/>
        <v>72.149310075781244</v>
      </c>
      <c r="C11">
        <f t="shared" si="1"/>
        <v>0.54111982556835936</v>
      </c>
      <c r="D11">
        <v>1</v>
      </c>
    </row>
    <row r="12" spans="1:6" x14ac:dyDescent="0.25">
      <c r="A12">
        <f t="shared" si="2"/>
        <v>1</v>
      </c>
      <c r="B12">
        <f t="shared" si="0"/>
        <v>72.690429901349603</v>
      </c>
      <c r="C12">
        <f t="shared" si="1"/>
        <v>0.55608178874532443</v>
      </c>
      <c r="D12">
        <f>D11*(1+B5)</f>
        <v>1.02</v>
      </c>
    </row>
    <row r="13" spans="1:6" x14ac:dyDescent="0.25">
      <c r="A13">
        <f t="shared" si="2"/>
        <v>1.25</v>
      </c>
      <c r="B13">
        <f t="shared" si="0"/>
        <v>73.246511690094934</v>
      </c>
      <c r="C13">
        <f t="shared" si="1"/>
        <v>0.5603358144292262</v>
      </c>
      <c r="D13">
        <f>D12</f>
        <v>1.02</v>
      </c>
    </row>
    <row r="14" spans="1:6" x14ac:dyDescent="0.25">
      <c r="A14">
        <f t="shared" si="2"/>
        <v>1.5</v>
      </c>
      <c r="B14">
        <f t="shared" si="0"/>
        <v>73.806847504524157</v>
      </c>
      <c r="C14">
        <f t="shared" si="1"/>
        <v>0.5646223834096098</v>
      </c>
      <c r="D14">
        <f>D13</f>
        <v>1.02</v>
      </c>
    </row>
    <row r="15" spans="1:6" x14ac:dyDescent="0.25">
      <c r="A15">
        <f t="shared" si="2"/>
        <v>1.75</v>
      </c>
      <c r="B15">
        <f t="shared" si="0"/>
        <v>74.37146988793377</v>
      </c>
      <c r="C15">
        <f t="shared" si="1"/>
        <v>0.56894174464269331</v>
      </c>
      <c r="D15">
        <f>D14</f>
        <v>1.02</v>
      </c>
    </row>
    <row r="16" spans="1:6" x14ac:dyDescent="0.25">
      <c r="A16">
        <f t="shared" si="2"/>
        <v>2</v>
      </c>
      <c r="B16">
        <f t="shared" si="0"/>
        <v>74.94041163257647</v>
      </c>
      <c r="C16">
        <f t="shared" si="1"/>
        <v>0.58476003196899418</v>
      </c>
      <c r="D16">
        <f>D15*(1+$B$5)</f>
        <v>1.0404</v>
      </c>
      <c r="E16">
        <v>0</v>
      </c>
      <c r="F16">
        <v>241</v>
      </c>
    </row>
    <row r="17" spans="1:10" x14ac:dyDescent="0.25">
      <c r="A17">
        <f t="shared" si="2"/>
        <v>2.25</v>
      </c>
      <c r="B17">
        <f t="shared" si="0"/>
        <v>75.525171664545468</v>
      </c>
      <c r="C17">
        <f t="shared" si="1"/>
        <v>0.58932291449844831</v>
      </c>
      <c r="D17">
        <f>D16</f>
        <v>1.0404</v>
      </c>
      <c r="E17">
        <v>0.25</v>
      </c>
      <c r="F17">
        <f>F16*0.6/40+F16</f>
        <v>244.61500000000001</v>
      </c>
    </row>
    <row r="18" spans="1:10" x14ac:dyDescent="0.25">
      <c r="A18">
        <f t="shared" si="2"/>
        <v>2.5</v>
      </c>
      <c r="B18">
        <f t="shared" si="0"/>
        <v>76.114494579043921</v>
      </c>
      <c r="C18">
        <f t="shared" si="1"/>
        <v>0.5939214012002797</v>
      </c>
      <c r="D18">
        <f>D17</f>
        <v>1.0404</v>
      </c>
      <c r="E18">
        <v>0.5</v>
      </c>
      <c r="F18">
        <f t="shared" ref="F18:F28" si="3">F17*0.6/40+F17</f>
        <v>248.28422500000002</v>
      </c>
      <c r="G18">
        <v>23</v>
      </c>
      <c r="H18">
        <v>75000</v>
      </c>
      <c r="J18">
        <f>H18*0.02</f>
        <v>1500</v>
      </c>
    </row>
    <row r="19" spans="1:10" x14ac:dyDescent="0.25">
      <c r="A19">
        <f t="shared" si="2"/>
        <v>2.75</v>
      </c>
      <c r="B19">
        <f t="shared" si="0"/>
        <v>76.708415980244197</v>
      </c>
      <c r="C19">
        <f t="shared" si="1"/>
        <v>0.59855576989384551</v>
      </c>
      <c r="D19">
        <f>D18</f>
        <v>1.0404</v>
      </c>
      <c r="E19">
        <v>0.75</v>
      </c>
      <c r="F19">
        <f t="shared" si="3"/>
        <v>252.00848837500001</v>
      </c>
      <c r="G19">
        <f>G18+1</f>
        <v>24</v>
      </c>
      <c r="H19">
        <f>H18*1.08+25000</f>
        <v>106000</v>
      </c>
      <c r="I19">
        <f t="shared" ref="I19:I72" si="4">H19/1000000</f>
        <v>0.106</v>
      </c>
      <c r="J19">
        <f t="shared" ref="J19:J82" si="5">H19*0.02</f>
        <v>2120</v>
      </c>
    </row>
    <row r="20" spans="1:10" x14ac:dyDescent="0.25">
      <c r="A20">
        <f t="shared" si="2"/>
        <v>3</v>
      </c>
      <c r="B20">
        <f t="shared" si="0"/>
        <v>77.306971750138047</v>
      </c>
      <c r="C20">
        <f t="shared" si="1"/>
        <v>0.61529082657765366</v>
      </c>
      <c r="D20">
        <f>D19*(1+$B$5)</f>
        <v>1.0612079999999999</v>
      </c>
      <c r="E20">
        <v>1</v>
      </c>
      <c r="F20">
        <f t="shared" si="3"/>
        <v>255.788615700625</v>
      </c>
      <c r="G20">
        <f t="shared" ref="G20:G83" si="6">G19+1</f>
        <v>25</v>
      </c>
      <c r="H20">
        <f t="shared" ref="H20:H83" si="7">H19*1.08+25000</f>
        <v>139480</v>
      </c>
      <c r="I20">
        <f t="shared" si="4"/>
        <v>0.13947999999999999</v>
      </c>
      <c r="J20">
        <f t="shared" si="5"/>
        <v>2789.6</v>
      </c>
    </row>
    <row r="21" spans="1:10" x14ac:dyDescent="0.25">
      <c r="A21">
        <f t="shared" si="2"/>
        <v>3.25</v>
      </c>
      <c r="B21">
        <f t="shared" si="0"/>
        <v>77.922262576715696</v>
      </c>
      <c r="C21">
        <f t="shared" si="1"/>
        <v>0.62018796318383473</v>
      </c>
      <c r="D21">
        <f>D20</f>
        <v>1.0612079999999999</v>
      </c>
      <c r="E21">
        <v>1.25</v>
      </c>
      <c r="F21">
        <f t="shared" si="3"/>
        <v>259.62544493613439</v>
      </c>
      <c r="G21">
        <f t="shared" si="6"/>
        <v>26</v>
      </c>
      <c r="H21">
        <f t="shared" si="7"/>
        <v>175638.40000000002</v>
      </c>
      <c r="I21">
        <f t="shared" si="4"/>
        <v>0.17563840000000003</v>
      </c>
      <c r="J21">
        <f t="shared" si="5"/>
        <v>3512.7680000000005</v>
      </c>
    </row>
    <row r="22" spans="1:10" x14ac:dyDescent="0.25">
      <c r="A22">
        <f t="shared" si="2"/>
        <v>3.5</v>
      </c>
      <c r="B22">
        <f t="shared" si="0"/>
        <v>78.542450539899534</v>
      </c>
      <c r="C22">
        <f t="shared" si="1"/>
        <v>0.62512407639409273</v>
      </c>
      <c r="D22">
        <f>D21</f>
        <v>1.0612079999999999</v>
      </c>
      <c r="E22">
        <v>1.5</v>
      </c>
      <c r="F22">
        <f t="shared" si="3"/>
        <v>263.51982661017638</v>
      </c>
      <c r="G22">
        <f t="shared" si="6"/>
        <v>27</v>
      </c>
      <c r="H22">
        <f t="shared" si="7"/>
        <v>214689.47200000004</v>
      </c>
      <c r="I22">
        <f t="shared" si="4"/>
        <v>0.21468947200000005</v>
      </c>
      <c r="J22">
        <f t="shared" si="5"/>
        <v>4293.7894400000005</v>
      </c>
    </row>
    <row r="23" spans="1:10" x14ac:dyDescent="0.25">
      <c r="A23">
        <f t="shared" si="2"/>
        <v>3.75</v>
      </c>
      <c r="B23">
        <f t="shared" si="0"/>
        <v>79.167574616293621</v>
      </c>
      <c r="C23">
        <f t="shared" si="1"/>
        <v>0.63009947642555775</v>
      </c>
      <c r="D23">
        <f>D22</f>
        <v>1.0612079999999999</v>
      </c>
      <c r="E23">
        <v>1.75</v>
      </c>
      <c r="F23">
        <f t="shared" si="3"/>
        <v>267.47262400932902</v>
      </c>
      <c r="G23">
        <f t="shared" si="6"/>
        <v>28</v>
      </c>
      <c r="H23">
        <f t="shared" si="7"/>
        <v>256864.62976000007</v>
      </c>
      <c r="I23">
        <f t="shared" si="4"/>
        <v>0.25686462976000007</v>
      </c>
      <c r="J23">
        <f t="shared" si="5"/>
        <v>5137.2925952000014</v>
      </c>
    </row>
    <row r="24" spans="1:10" x14ac:dyDescent="0.25">
      <c r="A24">
        <f t="shared" si="2"/>
        <v>4</v>
      </c>
      <c r="B24">
        <f t="shared" si="0"/>
        <v>79.797674092719177</v>
      </c>
      <c r="C24">
        <f t="shared" si="1"/>
        <v>0.64781676548368539</v>
      </c>
      <c r="D24">
        <f>D23*(1+$B$5)</f>
        <v>1.08243216</v>
      </c>
      <c r="E24">
        <v>2</v>
      </c>
      <c r="F24">
        <f t="shared" si="3"/>
        <v>271.48471336946898</v>
      </c>
      <c r="G24">
        <f t="shared" si="6"/>
        <v>29</v>
      </c>
      <c r="H24">
        <f t="shared" si="7"/>
        <v>302413.80014080007</v>
      </c>
      <c r="I24">
        <f t="shared" si="4"/>
        <v>0.30241380014080005</v>
      </c>
      <c r="J24">
        <f t="shared" si="5"/>
        <v>6048.2760028160019</v>
      </c>
    </row>
    <row r="25" spans="1:10" x14ac:dyDescent="0.25">
      <c r="A25">
        <f t="shared" si="2"/>
        <v>4.25</v>
      </c>
      <c r="B25">
        <f t="shared" si="0"/>
        <v>80.445490858202859</v>
      </c>
      <c r="C25">
        <f t="shared" si="1"/>
        <v>0.6530758982392858</v>
      </c>
      <c r="D25">
        <f>D24</f>
        <v>1.08243216</v>
      </c>
      <c r="E25">
        <v>2.25</v>
      </c>
      <c r="F25">
        <f t="shared" si="3"/>
        <v>275.55698407001103</v>
      </c>
      <c r="G25">
        <f t="shared" si="6"/>
        <v>30</v>
      </c>
      <c r="H25">
        <f t="shared" si="7"/>
        <v>351606.90415206412</v>
      </c>
      <c r="I25">
        <f t="shared" si="4"/>
        <v>0.35160690415206414</v>
      </c>
      <c r="J25">
        <f t="shared" si="5"/>
        <v>7032.1380830412827</v>
      </c>
    </row>
    <row r="26" spans="1:10" x14ac:dyDescent="0.25">
      <c r="A26">
        <f t="shared" si="2"/>
        <v>4.5</v>
      </c>
      <c r="B26">
        <f t="shared" si="0"/>
        <v>81.098566756442139</v>
      </c>
      <c r="C26">
        <f t="shared" si="1"/>
        <v>0.65837772590309884</v>
      </c>
      <c r="D26">
        <f>D25</f>
        <v>1.08243216</v>
      </c>
      <c r="E26">
        <v>2.5</v>
      </c>
      <c r="F26">
        <f t="shared" si="3"/>
        <v>279.69033883106118</v>
      </c>
      <c r="G26">
        <f t="shared" si="6"/>
        <v>31</v>
      </c>
      <c r="H26">
        <f t="shared" si="7"/>
        <v>404735.45648422925</v>
      </c>
      <c r="I26">
        <f t="shared" si="4"/>
        <v>0.40473545648422926</v>
      </c>
      <c r="J26">
        <f t="shared" si="5"/>
        <v>8094.7091296845847</v>
      </c>
    </row>
    <row r="27" spans="1:10" x14ac:dyDescent="0.25">
      <c r="A27">
        <f t="shared" si="2"/>
        <v>4.75</v>
      </c>
      <c r="B27">
        <f t="shared" si="0"/>
        <v>81.756944482345233</v>
      </c>
      <c r="C27">
        <f t="shared" si="1"/>
        <v>0.66372259508268772</v>
      </c>
      <c r="D27">
        <f>D26</f>
        <v>1.08243216</v>
      </c>
      <c r="E27">
        <v>2.75</v>
      </c>
      <c r="F27">
        <f t="shared" si="3"/>
        <v>283.88569391352712</v>
      </c>
      <c r="G27">
        <f t="shared" si="6"/>
        <v>32</v>
      </c>
      <c r="H27">
        <f t="shared" si="7"/>
        <v>462114.29300296761</v>
      </c>
      <c r="I27">
        <f t="shared" si="4"/>
        <v>0.46211429300296758</v>
      </c>
      <c r="J27">
        <f t="shared" si="5"/>
        <v>9242.2858600593518</v>
      </c>
    </row>
    <row r="28" spans="1:10" x14ac:dyDescent="0.25">
      <c r="A28">
        <f t="shared" si="2"/>
        <v>5</v>
      </c>
      <c r="B28">
        <f t="shared" si="0"/>
        <v>82.420667077427922</v>
      </c>
      <c r="C28">
        <f t="shared" si="1"/>
        <v>0.68249307230344802</v>
      </c>
      <c r="D28">
        <f>D27*(1+$B$5)</f>
        <v>1.1040808032</v>
      </c>
      <c r="E28">
        <v>3</v>
      </c>
      <c r="F28">
        <f t="shared" si="3"/>
        <v>288.14397932223005</v>
      </c>
      <c r="G28">
        <f t="shared" si="6"/>
        <v>33</v>
      </c>
      <c r="H28">
        <f t="shared" si="7"/>
        <v>524083.43644320505</v>
      </c>
      <c r="I28">
        <f t="shared" si="4"/>
        <v>0.5240834364432051</v>
      </c>
      <c r="J28">
        <f t="shared" si="5"/>
        <v>10481.668728864101</v>
      </c>
    </row>
    <row r="29" spans="1:10" x14ac:dyDescent="0.25">
      <c r="A29">
        <f t="shared" si="2"/>
        <v>5.25</v>
      </c>
      <c r="B29">
        <f t="shared" si="0"/>
        <v>83.103160149731366</v>
      </c>
      <c r="C29">
        <f t="shared" si="1"/>
        <v>0.68814452854930219</v>
      </c>
      <c r="D29">
        <f>D28</f>
        <v>1.1040808032</v>
      </c>
      <c r="G29">
        <f t="shared" si="6"/>
        <v>34</v>
      </c>
      <c r="H29">
        <f t="shared" si="7"/>
        <v>591010.11135866144</v>
      </c>
      <c r="I29">
        <f t="shared" si="4"/>
        <v>0.59101011135866144</v>
      </c>
      <c r="J29">
        <f t="shared" si="5"/>
        <v>11820.202227173229</v>
      </c>
    </row>
    <row r="30" spans="1:10" x14ac:dyDescent="0.25">
      <c r="A30">
        <f t="shared" si="2"/>
        <v>5.5</v>
      </c>
      <c r="B30">
        <f t="shared" si="0"/>
        <v>83.791304678280667</v>
      </c>
      <c r="C30">
        <f t="shared" si="1"/>
        <v>0.69384278227779017</v>
      </c>
      <c r="D30">
        <f>D29</f>
        <v>1.1040808032</v>
      </c>
      <c r="G30">
        <f t="shared" si="6"/>
        <v>35</v>
      </c>
      <c r="H30">
        <f t="shared" si="7"/>
        <v>663290.92026735435</v>
      </c>
      <c r="I30">
        <f t="shared" si="4"/>
        <v>0.66329092026735437</v>
      </c>
      <c r="J30">
        <f t="shared" si="5"/>
        <v>13265.818405347087</v>
      </c>
    </row>
    <row r="31" spans="1:10" x14ac:dyDescent="0.25">
      <c r="A31">
        <f t="shared" si="2"/>
        <v>5.75</v>
      </c>
      <c r="B31">
        <f t="shared" si="0"/>
        <v>84.485147460558451</v>
      </c>
      <c r="C31">
        <f t="shared" si="1"/>
        <v>0.6995882210004285</v>
      </c>
      <c r="D31">
        <f>D30</f>
        <v>1.1040808032</v>
      </c>
      <c r="G31">
        <f t="shared" si="6"/>
        <v>36</v>
      </c>
      <c r="H31">
        <f t="shared" si="7"/>
        <v>741354.19388874271</v>
      </c>
      <c r="I31">
        <f t="shared" si="4"/>
        <v>0.74135419388874269</v>
      </c>
      <c r="J31">
        <f t="shared" si="5"/>
        <v>14827.083877774854</v>
      </c>
    </row>
    <row r="32" spans="1:10" x14ac:dyDescent="0.25">
      <c r="A32">
        <f t="shared" si="2"/>
        <v>6</v>
      </c>
      <c r="B32">
        <f t="shared" si="0"/>
        <v>85.184735681558877</v>
      </c>
      <c r="C32">
        <f t="shared" si="1"/>
        <v>0.71948886014631552</v>
      </c>
      <c r="D32">
        <f>D31*(1+$B$5)</f>
        <v>1.1261624192640001</v>
      </c>
      <c r="G32">
        <f t="shared" si="6"/>
        <v>37</v>
      </c>
      <c r="H32">
        <f t="shared" si="7"/>
        <v>825662.52939984214</v>
      </c>
      <c r="I32">
        <f t="shared" si="4"/>
        <v>0.82566252939984219</v>
      </c>
      <c r="J32">
        <f t="shared" si="5"/>
        <v>16513.250587996845</v>
      </c>
    </row>
    <row r="33" spans="1:10" x14ac:dyDescent="0.25">
      <c r="A33">
        <f t="shared" si="2"/>
        <v>6.25</v>
      </c>
      <c r="B33">
        <f t="shared" si="0"/>
        <v>85.90422454170519</v>
      </c>
      <c r="C33">
        <f t="shared" si="1"/>
        <v>0.72556582001163461</v>
      </c>
      <c r="D33">
        <f>D32</f>
        <v>1.1261624192640001</v>
      </c>
      <c r="G33">
        <f t="shared" si="6"/>
        <v>38</v>
      </c>
      <c r="H33">
        <f t="shared" si="7"/>
        <v>916715.53175182955</v>
      </c>
      <c r="I33">
        <f t="shared" si="4"/>
        <v>0.91671553175182952</v>
      </c>
      <c r="J33">
        <f t="shared" si="5"/>
        <v>18334.310635036592</v>
      </c>
    </row>
    <row r="34" spans="1:10" x14ac:dyDescent="0.25">
      <c r="A34">
        <f t="shared" si="2"/>
        <v>6.5</v>
      </c>
      <c r="B34">
        <f t="shared" si="0"/>
        <v>86.629790361716829</v>
      </c>
      <c r="C34">
        <f t="shared" si="1"/>
        <v>0.73169410720563144</v>
      </c>
      <c r="D34">
        <f>D33</f>
        <v>1.1261624192640001</v>
      </c>
      <c r="G34">
        <f t="shared" si="6"/>
        <v>39</v>
      </c>
      <c r="H34">
        <f t="shared" si="7"/>
        <v>1015052.774291976</v>
      </c>
      <c r="I34">
        <f t="shared" si="4"/>
        <v>1.0150527742919759</v>
      </c>
      <c r="J34">
        <f t="shared" si="5"/>
        <v>20301.055485839519</v>
      </c>
    </row>
    <row r="35" spans="1:10" x14ac:dyDescent="0.25">
      <c r="A35">
        <f t="shared" si="2"/>
        <v>6.75</v>
      </c>
      <c r="B35">
        <f t="shared" si="0"/>
        <v>87.361484468922455</v>
      </c>
      <c r="C35">
        <f t="shared" si="1"/>
        <v>0.73787415525012068</v>
      </c>
      <c r="D35">
        <f>D34</f>
        <v>1.1261624192640001</v>
      </c>
      <c r="G35">
        <f t="shared" si="6"/>
        <v>40</v>
      </c>
      <c r="H35">
        <f t="shared" si="7"/>
        <v>1121256.9962353341</v>
      </c>
      <c r="I35">
        <f t="shared" si="4"/>
        <v>1.121256996235334</v>
      </c>
      <c r="J35">
        <f t="shared" si="5"/>
        <v>22425.139924706684</v>
      </c>
    </row>
    <row r="36" spans="1:10" x14ac:dyDescent="0.25">
      <c r="A36">
        <f t="shared" si="2"/>
        <v>7</v>
      </c>
      <c r="B36">
        <f t="shared" si="0"/>
        <v>88.099358624172581</v>
      </c>
      <c r="C36">
        <f t="shared" si="1"/>
        <v>0.75898852935510785</v>
      </c>
      <c r="D36">
        <f>D35*(1+$B$5)</f>
        <v>1.14868566764928</v>
      </c>
      <c r="G36">
        <f t="shared" si="6"/>
        <v>41</v>
      </c>
      <c r="H36">
        <f t="shared" si="7"/>
        <v>1235957.5559341609</v>
      </c>
      <c r="I36">
        <f t="shared" si="4"/>
        <v>1.2359575559341609</v>
      </c>
      <c r="J36">
        <f t="shared" si="5"/>
        <v>24719.151118683221</v>
      </c>
    </row>
    <row r="37" spans="1:10" x14ac:dyDescent="0.25">
      <c r="A37">
        <f t="shared" si="2"/>
        <v>7.25</v>
      </c>
      <c r="B37">
        <f t="shared" si="0"/>
        <v>88.858347153527689</v>
      </c>
      <c r="C37">
        <f t="shared" si="1"/>
        <v>0.76552732369696097</v>
      </c>
      <c r="D37">
        <f>D36</f>
        <v>1.14868566764928</v>
      </c>
      <c r="G37">
        <f t="shared" si="6"/>
        <v>42</v>
      </c>
      <c r="H37">
        <f t="shared" si="7"/>
        <v>1359834.1604088938</v>
      </c>
      <c r="I37">
        <f t="shared" si="4"/>
        <v>1.3598341604088939</v>
      </c>
      <c r="J37">
        <f t="shared" si="5"/>
        <v>27196.683208177878</v>
      </c>
    </row>
    <row r="38" spans="1:10" x14ac:dyDescent="0.25">
      <c r="A38">
        <f t="shared" si="2"/>
        <v>7.5</v>
      </c>
      <c r="B38">
        <f t="shared" si="0"/>
        <v>89.623874477224646</v>
      </c>
      <c r="C38">
        <f t="shared" si="1"/>
        <v>0.77212245068389551</v>
      </c>
      <c r="D38">
        <f>D37</f>
        <v>1.14868566764928</v>
      </c>
      <c r="G38">
        <f t="shared" si="6"/>
        <v>43</v>
      </c>
      <c r="H38">
        <f t="shared" si="7"/>
        <v>1493620.8932416055</v>
      </c>
      <c r="I38">
        <f t="shared" si="4"/>
        <v>1.4936208932416055</v>
      </c>
      <c r="J38">
        <f t="shared" si="5"/>
        <v>29872.41786483211</v>
      </c>
    </row>
    <row r="39" spans="1:10" x14ac:dyDescent="0.25">
      <c r="A39">
        <f t="shared" si="2"/>
        <v>7.75</v>
      </c>
      <c r="B39">
        <f t="shared" si="0"/>
        <v>90.395996927908541</v>
      </c>
      <c r="C39">
        <f t="shared" si="1"/>
        <v>0.77877439562967665</v>
      </c>
      <c r="D39">
        <f>D38</f>
        <v>1.14868566764928</v>
      </c>
      <c r="G39">
        <f t="shared" si="6"/>
        <v>44</v>
      </c>
      <c r="H39">
        <f t="shared" si="7"/>
        <v>1638110.5647009341</v>
      </c>
      <c r="I39">
        <f t="shared" si="4"/>
        <v>1.6381105647009342</v>
      </c>
      <c r="J39">
        <f t="shared" si="5"/>
        <v>32762.211294018682</v>
      </c>
    </row>
    <row r="40" spans="1:10" x14ac:dyDescent="0.25">
      <c r="A40">
        <f t="shared" si="2"/>
        <v>8</v>
      </c>
      <c r="B40">
        <f t="shared" si="0"/>
        <v>91.174771323538224</v>
      </c>
      <c r="C40">
        <f t="shared" si="1"/>
        <v>0.80119332098969942</v>
      </c>
      <c r="D40">
        <f>D39*(1+$B$5)</f>
        <v>1.1716593810022657</v>
      </c>
      <c r="G40">
        <f t="shared" si="6"/>
        <v>45</v>
      </c>
      <c r="H40">
        <f t="shared" si="7"/>
        <v>1794159.409877009</v>
      </c>
      <c r="I40">
        <f t="shared" si="4"/>
        <v>1.7941594098770091</v>
      </c>
      <c r="J40">
        <f t="shared" si="5"/>
        <v>35883.188197540177</v>
      </c>
    </row>
    <row r="41" spans="1:10" x14ac:dyDescent="0.25">
      <c r="A41">
        <f t="shared" si="2"/>
        <v>8.25</v>
      </c>
      <c r="B41">
        <f t="shared" ref="B41:B72" si="8">B40+C40</f>
        <v>91.97596464452792</v>
      </c>
      <c r="C41">
        <f t="shared" si="1"/>
        <v>0.80823376351870402</v>
      </c>
      <c r="D41">
        <f>D40</f>
        <v>1.1716593810022657</v>
      </c>
      <c r="G41">
        <f t="shared" si="6"/>
        <v>46</v>
      </c>
      <c r="H41">
        <f t="shared" si="7"/>
        <v>1962692.1626671699</v>
      </c>
      <c r="I41">
        <f t="shared" si="4"/>
        <v>1.9626921626671698</v>
      </c>
      <c r="J41">
        <f t="shared" si="5"/>
        <v>39253.843253343402</v>
      </c>
    </row>
    <row r="42" spans="1:10" x14ac:dyDescent="0.25">
      <c r="A42">
        <f t="shared" si="2"/>
        <v>8.5</v>
      </c>
      <c r="B42">
        <f t="shared" si="8"/>
        <v>92.78419840804662</v>
      </c>
      <c r="C42">
        <f t="shared" si="1"/>
        <v>0.81533607355172488</v>
      </c>
      <c r="D42">
        <f>D41</f>
        <v>1.1716593810022657</v>
      </c>
      <c r="G42">
        <f t="shared" si="6"/>
        <v>47</v>
      </c>
      <c r="H42">
        <f t="shared" si="7"/>
        <v>2144707.5356805436</v>
      </c>
      <c r="I42">
        <f t="shared" si="4"/>
        <v>2.1447075356805438</v>
      </c>
      <c r="J42">
        <f t="shared" si="5"/>
        <v>42894.15071361087</v>
      </c>
    </row>
    <row r="43" spans="1:10" x14ac:dyDescent="0.25">
      <c r="A43">
        <f t="shared" si="2"/>
        <v>8.75</v>
      </c>
      <c r="B43">
        <f t="shared" si="8"/>
        <v>93.59953448159834</v>
      </c>
      <c r="C43">
        <f t="shared" si="1"/>
        <v>0.82250079474607307</v>
      </c>
      <c r="D43">
        <f>D42</f>
        <v>1.1716593810022657</v>
      </c>
      <c r="G43">
        <f t="shared" si="6"/>
        <v>48</v>
      </c>
      <c r="H43">
        <f t="shared" si="7"/>
        <v>2341284.1385349873</v>
      </c>
      <c r="I43">
        <f t="shared" si="4"/>
        <v>2.3412841385349874</v>
      </c>
      <c r="J43">
        <f t="shared" si="5"/>
        <v>46825.68277069975</v>
      </c>
    </row>
    <row r="44" spans="1:10" x14ac:dyDescent="0.25">
      <c r="A44">
        <f t="shared" si="2"/>
        <v>9</v>
      </c>
      <c r="B44">
        <f t="shared" si="8"/>
        <v>94.422035276344417</v>
      </c>
      <c r="C44">
        <f t="shared" si="1"/>
        <v>0.84632304504714684</v>
      </c>
      <c r="D44">
        <f>D43*(1+$B$5)</f>
        <v>1.1950925686223111</v>
      </c>
      <c r="G44">
        <f t="shared" si="6"/>
        <v>49</v>
      </c>
      <c r="H44">
        <f t="shared" si="7"/>
        <v>2553586.8696177867</v>
      </c>
      <c r="I44">
        <f t="shared" si="4"/>
        <v>2.5535868696177868</v>
      </c>
      <c r="J44">
        <f t="shared" si="5"/>
        <v>51071.737392355739</v>
      </c>
    </row>
    <row r="45" spans="1:10" x14ac:dyDescent="0.25">
      <c r="A45">
        <f t="shared" si="2"/>
        <v>9.25</v>
      </c>
      <c r="B45">
        <f t="shared" si="8"/>
        <v>95.26835832139156</v>
      </c>
      <c r="C45">
        <f t="shared" si="1"/>
        <v>0.85390880291056914</v>
      </c>
      <c r="D45">
        <f>D44</f>
        <v>1.1950925686223111</v>
      </c>
      <c r="G45">
        <f t="shared" si="6"/>
        <v>50</v>
      </c>
      <c r="H45">
        <f t="shared" si="7"/>
        <v>2782873.8191872099</v>
      </c>
      <c r="I45">
        <f t="shared" si="4"/>
        <v>2.78287381918721</v>
      </c>
      <c r="J45">
        <f t="shared" si="5"/>
        <v>55657.476383744201</v>
      </c>
    </row>
    <row r="46" spans="1:10" x14ac:dyDescent="0.25">
      <c r="A46">
        <f t="shared" si="2"/>
        <v>9.5</v>
      </c>
      <c r="B46">
        <f t="shared" si="8"/>
        <v>96.122267124302127</v>
      </c>
      <c r="C46">
        <f t="shared" si="1"/>
        <v>0.86156255339536603</v>
      </c>
      <c r="D46">
        <f>D45</f>
        <v>1.1950925686223111</v>
      </c>
      <c r="G46">
        <f t="shared" si="6"/>
        <v>51</v>
      </c>
      <c r="H46">
        <f t="shared" si="7"/>
        <v>3030503.724722187</v>
      </c>
      <c r="I46">
        <f t="shared" si="4"/>
        <v>3.0305037247221871</v>
      </c>
      <c r="J46">
        <f t="shared" si="5"/>
        <v>60610.074494443739</v>
      </c>
    </row>
    <row r="47" spans="1:10" x14ac:dyDescent="0.25">
      <c r="A47">
        <f t="shared" si="2"/>
        <v>9.75</v>
      </c>
      <c r="B47">
        <f t="shared" si="8"/>
        <v>96.983829677697486</v>
      </c>
      <c r="C47">
        <f t="shared" si="1"/>
        <v>0.86928490593261154</v>
      </c>
      <c r="D47">
        <f>D46</f>
        <v>1.1950925686223111</v>
      </c>
      <c r="G47">
        <f t="shared" si="6"/>
        <v>52</v>
      </c>
      <c r="H47">
        <f t="shared" si="7"/>
        <v>3297944.0226999624</v>
      </c>
      <c r="I47">
        <f t="shared" si="4"/>
        <v>3.2979440226999626</v>
      </c>
      <c r="J47">
        <f t="shared" si="5"/>
        <v>65958.880453999242</v>
      </c>
    </row>
    <row r="48" spans="1:10" x14ac:dyDescent="0.25">
      <c r="A48">
        <f t="shared" si="2"/>
        <v>10</v>
      </c>
      <c r="B48">
        <f t="shared" si="8"/>
        <v>97.853114583630102</v>
      </c>
      <c r="C48">
        <f t="shared" si="1"/>
        <v>0.89461800492414534</v>
      </c>
      <c r="D48">
        <f>D47*(1+$B$5)</f>
        <v>1.2189944199947573</v>
      </c>
      <c r="G48">
        <f t="shared" si="6"/>
        <v>53</v>
      </c>
      <c r="H48">
        <f t="shared" si="7"/>
        <v>3586779.5445159595</v>
      </c>
      <c r="I48">
        <f t="shared" si="4"/>
        <v>3.5867795445159594</v>
      </c>
      <c r="J48">
        <f t="shared" si="5"/>
        <v>71735.590890319188</v>
      </c>
    </row>
    <row r="49" spans="1:10" x14ac:dyDescent="0.25">
      <c r="A49">
        <f t="shared" si="2"/>
        <v>10.25</v>
      </c>
      <c r="B49">
        <f t="shared" si="8"/>
        <v>98.747732588554243</v>
      </c>
      <c r="C49">
        <f t="shared" si="1"/>
        <v>0.90279701259436562</v>
      </c>
      <c r="D49">
        <f>D48</f>
        <v>1.2189944199947573</v>
      </c>
      <c r="G49">
        <f t="shared" si="6"/>
        <v>54</v>
      </c>
      <c r="H49">
        <f t="shared" si="7"/>
        <v>3898721.9080772363</v>
      </c>
      <c r="I49">
        <f t="shared" si="4"/>
        <v>3.8987219080772362</v>
      </c>
      <c r="J49">
        <f t="shared" si="5"/>
        <v>77974.43816154472</v>
      </c>
    </row>
    <row r="50" spans="1:10" x14ac:dyDescent="0.25">
      <c r="A50">
        <f t="shared" si="2"/>
        <v>10.5</v>
      </c>
      <c r="B50">
        <f t="shared" si="8"/>
        <v>99.650529601148605</v>
      </c>
      <c r="C50">
        <f t="shared" si="1"/>
        <v>0.91105079649991905</v>
      </c>
      <c r="D50">
        <f>D49</f>
        <v>1.2189944199947573</v>
      </c>
      <c r="G50">
        <f t="shared" si="6"/>
        <v>55</v>
      </c>
      <c r="H50">
        <f t="shared" si="7"/>
        <v>4235619.6607234152</v>
      </c>
      <c r="I50">
        <f t="shared" si="4"/>
        <v>4.2356196607234153</v>
      </c>
      <c r="J50">
        <f t="shared" si="5"/>
        <v>84712.393214468306</v>
      </c>
    </row>
    <row r="51" spans="1:10" x14ac:dyDescent="0.25">
      <c r="A51">
        <f t="shared" si="2"/>
        <v>10.75</v>
      </c>
      <c r="B51">
        <f t="shared" si="8"/>
        <v>100.56158039764853</v>
      </c>
      <c r="C51">
        <f t="shared" si="1"/>
        <v>0.9193800402794079</v>
      </c>
      <c r="D51">
        <f>D50</f>
        <v>1.2189944199947573</v>
      </c>
      <c r="G51">
        <f t="shared" si="6"/>
        <v>56</v>
      </c>
      <c r="H51">
        <f t="shared" si="7"/>
        <v>4599469.2335812887</v>
      </c>
      <c r="I51">
        <f t="shared" si="4"/>
        <v>4.5994692335812886</v>
      </c>
      <c r="J51">
        <f t="shared" si="5"/>
        <v>91989.384671625783</v>
      </c>
    </row>
    <row r="52" spans="1:10" x14ac:dyDescent="0.25">
      <c r="A52">
        <f t="shared" si="2"/>
        <v>11</v>
      </c>
      <c r="B52">
        <f t="shared" si="8"/>
        <v>101.48096043792793</v>
      </c>
      <c r="C52">
        <f t="shared" si="1"/>
        <v>0.94634114249800305</v>
      </c>
      <c r="D52">
        <f>D51*(1+$B$5)</f>
        <v>1.2433743083946525</v>
      </c>
      <c r="G52">
        <f t="shared" si="6"/>
        <v>57</v>
      </c>
      <c r="H52">
        <f t="shared" si="7"/>
        <v>4992426.7722677924</v>
      </c>
      <c r="I52">
        <f t="shared" si="4"/>
        <v>4.992426772267792</v>
      </c>
      <c r="J52">
        <f t="shared" si="5"/>
        <v>99848.535445355854</v>
      </c>
    </row>
    <row r="53" spans="1:10" x14ac:dyDescent="0.25">
      <c r="A53">
        <f t="shared" si="2"/>
        <v>11.25</v>
      </c>
      <c r="B53">
        <f t="shared" si="8"/>
        <v>102.42730158042593</v>
      </c>
      <c r="C53">
        <f t="shared" si="1"/>
        <v>0.95516606447469443</v>
      </c>
      <c r="D53">
        <f>D52</f>
        <v>1.2433743083946525</v>
      </c>
      <c r="G53">
        <f t="shared" si="6"/>
        <v>58</v>
      </c>
      <c r="H53">
        <f t="shared" si="7"/>
        <v>5416820.9140492165</v>
      </c>
      <c r="I53">
        <f t="shared" si="4"/>
        <v>5.4168209140492163</v>
      </c>
      <c r="J53">
        <f t="shared" si="5"/>
        <v>108336.41828098433</v>
      </c>
    </row>
    <row r="54" spans="1:10" x14ac:dyDescent="0.25">
      <c r="A54">
        <f t="shared" si="2"/>
        <v>11.5</v>
      </c>
      <c r="B54">
        <f t="shared" si="8"/>
        <v>103.38246764490063</v>
      </c>
      <c r="C54">
        <f t="shared" si="1"/>
        <v>0.9640732815608315</v>
      </c>
      <c r="D54">
        <f>D53</f>
        <v>1.2433743083946525</v>
      </c>
      <c r="G54">
        <f t="shared" si="6"/>
        <v>59</v>
      </c>
      <c r="H54">
        <f t="shared" si="7"/>
        <v>5875166.5871731546</v>
      </c>
      <c r="I54">
        <f t="shared" si="4"/>
        <v>5.8751665871731547</v>
      </c>
      <c r="J54">
        <f t="shared" si="5"/>
        <v>117503.33174346309</v>
      </c>
    </row>
    <row r="55" spans="1:10" x14ac:dyDescent="0.25">
      <c r="A55">
        <f t="shared" si="2"/>
        <v>11.75</v>
      </c>
      <c r="B55">
        <f t="shared" si="8"/>
        <v>104.34654092646146</v>
      </c>
      <c r="C55">
        <f t="shared" si="1"/>
        <v>0.97306356118359993</v>
      </c>
      <c r="D55">
        <f>D54</f>
        <v>1.2433743083946525</v>
      </c>
      <c r="G55">
        <f t="shared" si="6"/>
        <v>60</v>
      </c>
      <c r="H55">
        <f t="shared" si="7"/>
        <v>6370179.9141470073</v>
      </c>
      <c r="I55">
        <f t="shared" si="4"/>
        <v>6.3701799141470072</v>
      </c>
      <c r="J55">
        <f t="shared" si="5"/>
        <v>127403.59828294015</v>
      </c>
    </row>
    <row r="56" spans="1:10" x14ac:dyDescent="0.25">
      <c r="A56">
        <f t="shared" si="2"/>
        <v>12</v>
      </c>
      <c r="B56">
        <f t="shared" si="8"/>
        <v>105.31960448764505</v>
      </c>
      <c r="C56">
        <f t="shared" si="1"/>
        <v>1.0017804314852135</v>
      </c>
      <c r="D56">
        <f>D55*(1+$B$5)</f>
        <v>1.2682417945625455</v>
      </c>
      <c r="G56">
        <f t="shared" si="6"/>
        <v>61</v>
      </c>
      <c r="H56">
        <f t="shared" si="7"/>
        <v>6904794.3072787682</v>
      </c>
      <c r="I56">
        <f t="shared" si="4"/>
        <v>6.9047943072787685</v>
      </c>
      <c r="J56">
        <f t="shared" si="5"/>
        <v>138095.88614557538</v>
      </c>
    </row>
    <row r="57" spans="1:10" x14ac:dyDescent="0.25">
      <c r="A57">
        <f t="shared" si="2"/>
        <v>12.25</v>
      </c>
      <c r="B57">
        <f t="shared" si="8"/>
        <v>106.32138491913027</v>
      </c>
      <c r="C57">
        <f t="shared" si="1"/>
        <v>1.011309180076597</v>
      </c>
      <c r="D57">
        <f>D56</f>
        <v>1.2682417945625455</v>
      </c>
      <c r="G57">
        <f t="shared" si="6"/>
        <v>62</v>
      </c>
      <c r="H57">
        <f t="shared" si="7"/>
        <v>7482177.8518610699</v>
      </c>
      <c r="I57">
        <f t="shared" si="4"/>
        <v>7.4821778518610698</v>
      </c>
      <c r="J57">
        <f t="shared" si="5"/>
        <v>149643.55703722141</v>
      </c>
    </row>
    <row r="58" spans="1:10" x14ac:dyDescent="0.25">
      <c r="A58">
        <f t="shared" si="2"/>
        <v>12.5</v>
      </c>
      <c r="B58">
        <f t="shared" si="8"/>
        <v>107.33269409920686</v>
      </c>
      <c r="C58">
        <f t="shared" si="1"/>
        <v>1.0209285643470813</v>
      </c>
      <c r="D58">
        <f>D57</f>
        <v>1.2682417945625455</v>
      </c>
      <c r="G58">
        <f t="shared" si="6"/>
        <v>63</v>
      </c>
      <c r="H58">
        <f t="shared" si="7"/>
        <v>8105752.0800099559</v>
      </c>
      <c r="I58">
        <f t="shared" si="4"/>
        <v>8.1057520800099567</v>
      </c>
      <c r="J58">
        <f t="shared" si="5"/>
        <v>162115.04160019913</v>
      </c>
    </row>
    <row r="59" spans="1:10" x14ac:dyDescent="0.25">
      <c r="A59">
        <f t="shared" si="2"/>
        <v>12.75</v>
      </c>
      <c r="B59">
        <f t="shared" si="8"/>
        <v>108.35362266355395</v>
      </c>
      <c r="C59">
        <f t="shared" si="1"/>
        <v>1.0306394464063391</v>
      </c>
      <c r="D59">
        <f>D58</f>
        <v>1.2682417945625455</v>
      </c>
      <c r="G59">
        <f t="shared" si="6"/>
        <v>64</v>
      </c>
      <c r="H59">
        <f t="shared" si="7"/>
        <v>8779212.2464107536</v>
      </c>
      <c r="I59">
        <f t="shared" si="4"/>
        <v>8.7792122464107543</v>
      </c>
      <c r="J59">
        <f t="shared" si="5"/>
        <v>175584.24492821508</v>
      </c>
    </row>
    <row r="60" spans="1:10" x14ac:dyDescent="0.25">
      <c r="A60">
        <f t="shared" si="2"/>
        <v>13</v>
      </c>
      <c r="B60">
        <f t="shared" si="8"/>
        <v>109.38426210996029</v>
      </c>
      <c r="C60">
        <f t="shared" si="1"/>
        <v>1.0612515504955544</v>
      </c>
      <c r="D60">
        <f>D59*(1+$B$5)</f>
        <v>1.2936066304537963</v>
      </c>
      <c r="G60">
        <f t="shared" si="6"/>
        <v>65</v>
      </c>
      <c r="H60">
        <f t="shared" si="7"/>
        <v>9506549.2261236142</v>
      </c>
      <c r="I60">
        <f t="shared" si="4"/>
        <v>9.5065492261236137</v>
      </c>
      <c r="J60">
        <f t="shared" si="5"/>
        <v>190130.98452247228</v>
      </c>
    </row>
    <row r="61" spans="1:10" x14ac:dyDescent="0.25">
      <c r="A61">
        <f t="shared" si="2"/>
        <v>13.25</v>
      </c>
      <c r="B61">
        <f t="shared" si="8"/>
        <v>110.44551366045584</v>
      </c>
      <c r="C61">
        <f t="shared" si="1"/>
        <v>1.0715478658128075</v>
      </c>
      <c r="D61">
        <f>D60</f>
        <v>1.2936066304537963</v>
      </c>
      <c r="G61">
        <f t="shared" si="6"/>
        <v>66</v>
      </c>
      <c r="H61">
        <f t="shared" si="7"/>
        <v>10292073.164213505</v>
      </c>
      <c r="I61">
        <f t="shared" si="4"/>
        <v>10.292073164213505</v>
      </c>
      <c r="J61">
        <f t="shared" si="5"/>
        <v>205841.46328427011</v>
      </c>
    </row>
    <row r="62" spans="1:10" x14ac:dyDescent="0.25">
      <c r="A62">
        <f t="shared" si="2"/>
        <v>13.5</v>
      </c>
      <c r="B62">
        <f t="shared" si="8"/>
        <v>111.51706152626865</v>
      </c>
      <c r="C62">
        <f t="shared" si="1"/>
        <v>1.0819440764932879</v>
      </c>
      <c r="D62">
        <f>D61</f>
        <v>1.2936066304537963</v>
      </c>
      <c r="G62">
        <f t="shared" si="6"/>
        <v>67</v>
      </c>
      <c r="H62">
        <f t="shared" si="7"/>
        <v>11140439.017350586</v>
      </c>
      <c r="I62">
        <f t="shared" si="4"/>
        <v>11.140439017350586</v>
      </c>
      <c r="J62">
        <f t="shared" si="5"/>
        <v>222808.78034701172</v>
      </c>
    </row>
    <row r="63" spans="1:10" x14ac:dyDescent="0.25">
      <c r="A63">
        <f t="shared" si="2"/>
        <v>13.75</v>
      </c>
      <c r="B63">
        <f t="shared" si="8"/>
        <v>112.59900560276193</v>
      </c>
      <c r="C63">
        <f t="shared" si="1"/>
        <v>1.0924411517267774</v>
      </c>
      <c r="D63">
        <f>D62</f>
        <v>1.2936066304537963</v>
      </c>
      <c r="G63">
        <f t="shared" si="6"/>
        <v>68</v>
      </c>
      <c r="H63">
        <f t="shared" si="7"/>
        <v>12056674.138738634</v>
      </c>
      <c r="I63">
        <f t="shared" si="4"/>
        <v>12.056674138738634</v>
      </c>
      <c r="J63">
        <f t="shared" si="5"/>
        <v>241133.48277477268</v>
      </c>
    </row>
    <row r="64" spans="1:10" x14ac:dyDescent="0.25">
      <c r="A64">
        <f t="shared" si="2"/>
        <v>14</v>
      </c>
      <c r="B64">
        <f t="shared" si="8"/>
        <v>113.69144675448871</v>
      </c>
      <c r="C64">
        <f t="shared" si="1"/>
        <v>1.1251008715083086</v>
      </c>
      <c r="D64">
        <f>D63*(1+$B$5)</f>
        <v>1.3194787630628724</v>
      </c>
      <c r="G64">
        <f t="shared" si="6"/>
        <v>69</v>
      </c>
      <c r="H64">
        <f t="shared" si="7"/>
        <v>13046208.069837725</v>
      </c>
      <c r="I64">
        <f t="shared" si="4"/>
        <v>13.046208069837725</v>
      </c>
      <c r="J64">
        <f t="shared" si="5"/>
        <v>260924.1613967545</v>
      </c>
    </row>
    <row r="65" spans="1:10" x14ac:dyDescent="0.25">
      <c r="A65">
        <f t="shared" si="2"/>
        <v>14.25</v>
      </c>
      <c r="B65">
        <f t="shared" si="8"/>
        <v>114.81654762599702</v>
      </c>
      <c r="C65">
        <f t="shared" si="1"/>
        <v>1.1362349718052493</v>
      </c>
      <c r="D65">
        <f>D64</f>
        <v>1.3194787630628724</v>
      </c>
      <c r="G65">
        <f t="shared" si="6"/>
        <v>70</v>
      </c>
      <c r="H65">
        <f t="shared" si="7"/>
        <v>14114904.715424744</v>
      </c>
      <c r="I65">
        <f t="shared" si="4"/>
        <v>14.114904715424744</v>
      </c>
      <c r="J65">
        <f t="shared" si="5"/>
        <v>282298.09430849488</v>
      </c>
    </row>
    <row r="66" spans="1:10" x14ac:dyDescent="0.25">
      <c r="A66">
        <f t="shared" si="2"/>
        <v>14.5</v>
      </c>
      <c r="B66">
        <f t="shared" si="8"/>
        <v>115.95278259780227</v>
      </c>
      <c r="C66">
        <f t="shared" si="1"/>
        <v>1.1474792561688472</v>
      </c>
      <c r="D66">
        <f>D65</f>
        <v>1.3194787630628724</v>
      </c>
      <c r="G66">
        <f t="shared" si="6"/>
        <v>71</v>
      </c>
      <c r="H66">
        <f t="shared" si="7"/>
        <v>15269097.092658725</v>
      </c>
      <c r="I66">
        <f t="shared" si="4"/>
        <v>15.269097092658726</v>
      </c>
      <c r="J66">
        <f t="shared" si="5"/>
        <v>305381.94185317447</v>
      </c>
    </row>
    <row r="67" spans="1:10" x14ac:dyDescent="0.25">
      <c r="A67">
        <f t="shared" si="2"/>
        <v>14.75</v>
      </c>
      <c r="B67">
        <f t="shared" si="8"/>
        <v>117.10026185397112</v>
      </c>
      <c r="C67">
        <f t="shared" si="1"/>
        <v>1.1588348149906218</v>
      </c>
      <c r="D67">
        <f>D66</f>
        <v>1.3194787630628724</v>
      </c>
      <c r="G67">
        <f t="shared" si="6"/>
        <v>72</v>
      </c>
      <c r="H67">
        <f t="shared" si="7"/>
        <v>16515624.860071424</v>
      </c>
      <c r="I67">
        <f t="shared" si="4"/>
        <v>16.515624860071423</v>
      </c>
      <c r="J67">
        <f t="shared" si="5"/>
        <v>330312.49720142852</v>
      </c>
    </row>
    <row r="68" spans="1:10" x14ac:dyDescent="0.25">
      <c r="A68">
        <f t="shared" si="2"/>
        <v>15</v>
      </c>
      <c r="B68">
        <f t="shared" si="8"/>
        <v>118.25909666896175</v>
      </c>
      <c r="C68">
        <f t="shared" si="1"/>
        <v>1.1937088044417614</v>
      </c>
      <c r="D68">
        <f>D67*(1+$B$5)</f>
        <v>1.3458683383241299</v>
      </c>
      <c r="G68">
        <f t="shared" si="6"/>
        <v>73</v>
      </c>
      <c r="H68">
        <f t="shared" si="7"/>
        <v>17861874.848877139</v>
      </c>
      <c r="I68">
        <f t="shared" si="4"/>
        <v>17.861874848877139</v>
      </c>
      <c r="J68">
        <f t="shared" si="5"/>
        <v>357237.49697754282</v>
      </c>
    </row>
    <row r="69" spans="1:10" x14ac:dyDescent="0.25">
      <c r="A69">
        <f t="shared" si="2"/>
        <v>15.25</v>
      </c>
      <c r="B69">
        <f t="shared" si="8"/>
        <v>119.4528054734035</v>
      </c>
      <c r="C69">
        <f t="shared" si="1"/>
        <v>1.2057581160798383</v>
      </c>
      <c r="D69">
        <f>D68</f>
        <v>1.3458683383241299</v>
      </c>
      <c r="G69">
        <f t="shared" si="6"/>
        <v>74</v>
      </c>
      <c r="H69">
        <f t="shared" si="7"/>
        <v>19315824.836787313</v>
      </c>
      <c r="I69">
        <f t="shared" si="4"/>
        <v>19.315824836787314</v>
      </c>
      <c r="J69">
        <f t="shared" si="5"/>
        <v>386316.49673574627</v>
      </c>
    </row>
    <row r="70" spans="1:10" x14ac:dyDescent="0.25">
      <c r="A70">
        <f t="shared" si="2"/>
        <v>15.5</v>
      </c>
      <c r="B70">
        <f t="shared" si="8"/>
        <v>120.65856358948334</v>
      </c>
      <c r="C70">
        <f t="shared" si="1"/>
        <v>1.2179290536206573</v>
      </c>
      <c r="D70">
        <f>D69</f>
        <v>1.3458683383241299</v>
      </c>
      <c r="G70">
        <f t="shared" si="6"/>
        <v>75</v>
      </c>
      <c r="H70">
        <f t="shared" si="7"/>
        <v>20886090.823730301</v>
      </c>
      <c r="I70">
        <f t="shared" si="4"/>
        <v>20.886090823730299</v>
      </c>
      <c r="J70">
        <f t="shared" si="5"/>
        <v>417721.81647460605</v>
      </c>
    </row>
    <row r="71" spans="1:10" x14ac:dyDescent="0.25">
      <c r="A71">
        <f t="shared" si="2"/>
        <v>15.75</v>
      </c>
      <c r="B71">
        <f t="shared" si="8"/>
        <v>121.87649264310399</v>
      </c>
      <c r="C71">
        <f t="shared" si="1"/>
        <v>1.2302228447576056</v>
      </c>
      <c r="D71">
        <f>D70</f>
        <v>1.3458683383241299</v>
      </c>
      <c r="G71">
        <f t="shared" si="6"/>
        <v>76</v>
      </c>
      <c r="H71">
        <f t="shared" si="7"/>
        <v>22581978.089628726</v>
      </c>
      <c r="I71">
        <f t="shared" si="4"/>
        <v>22.581978089628727</v>
      </c>
      <c r="J71">
        <f t="shared" si="5"/>
        <v>451639.56179257453</v>
      </c>
    </row>
    <row r="72" spans="1:10" x14ac:dyDescent="0.25">
      <c r="A72">
        <f t="shared" si="2"/>
        <v>16</v>
      </c>
      <c r="B72">
        <f t="shared" si="8"/>
        <v>123.10671548786159</v>
      </c>
      <c r="C72">
        <f t="shared" si="1"/>
        <v>1.2674935441679513</v>
      </c>
      <c r="D72">
        <f>D71*(1+$B$5)</f>
        <v>1.3727857050906125</v>
      </c>
      <c r="G72">
        <f t="shared" si="6"/>
        <v>77</v>
      </c>
      <c r="H72">
        <f>H71*1.08+25000</f>
        <v>24413536.336799026</v>
      </c>
      <c r="I72">
        <f t="shared" si="4"/>
        <v>24.413536336799027</v>
      </c>
      <c r="J72">
        <f t="shared" si="5"/>
        <v>488270.72673598054</v>
      </c>
    </row>
    <row r="73" spans="1:10" x14ac:dyDescent="0.25">
      <c r="A73">
        <f t="shared" si="2"/>
        <v>16.25</v>
      </c>
      <c r="B73">
        <f t="shared" ref="B73:B104" si="9">B72+C72</f>
        <v>124.37420903202954</v>
      </c>
      <c r="C73">
        <f t="shared" ref="C73:C136" si="10">B73*(($B$4)*D73/4)</f>
        <v>1.2805435218084142</v>
      </c>
      <c r="D73">
        <f>D72</f>
        <v>1.3727857050906125</v>
      </c>
      <c r="G73">
        <f t="shared" si="6"/>
        <v>78</v>
      </c>
      <c r="H73">
        <f t="shared" si="7"/>
        <v>26391619.24374295</v>
      </c>
      <c r="I73">
        <f>H73/1000000</f>
        <v>26.391619243742952</v>
      </c>
      <c r="J73">
        <f t="shared" si="5"/>
        <v>527832.38487485901</v>
      </c>
    </row>
    <row r="74" spans="1:10" x14ac:dyDescent="0.25">
      <c r="A74">
        <f t="shared" si="2"/>
        <v>16.5</v>
      </c>
      <c r="B74">
        <f t="shared" si="9"/>
        <v>125.65475255383795</v>
      </c>
      <c r="C74">
        <f t="shared" si="10"/>
        <v>1.2937278606195515</v>
      </c>
      <c r="D74">
        <f>D73</f>
        <v>1.3727857050906125</v>
      </c>
      <c r="G74">
        <f t="shared" si="6"/>
        <v>79</v>
      </c>
      <c r="H74">
        <f t="shared" si="7"/>
        <v>28527948.78324239</v>
      </c>
      <c r="I74">
        <f t="shared" ref="I74:I108" si="11">H74/1000000</f>
        <v>28.52794878324239</v>
      </c>
      <c r="J74">
        <f t="shared" si="5"/>
        <v>570558.97566484776</v>
      </c>
    </row>
    <row r="75" spans="1:10" x14ac:dyDescent="0.25">
      <c r="A75">
        <f t="shared" ref="A75:A138" si="12">A74+0.25</f>
        <v>16.75</v>
      </c>
      <c r="B75">
        <f t="shared" si="9"/>
        <v>126.94848041445751</v>
      </c>
      <c r="C75">
        <f t="shared" si="10"/>
        <v>1.3070479439695715</v>
      </c>
      <c r="D75">
        <f>D74</f>
        <v>1.3727857050906125</v>
      </c>
      <c r="G75">
        <f t="shared" si="6"/>
        <v>80</v>
      </c>
      <c r="H75">
        <f t="shared" si="7"/>
        <v>30835184.685901783</v>
      </c>
      <c r="I75">
        <f t="shared" si="11"/>
        <v>30.835184685901783</v>
      </c>
      <c r="J75">
        <f t="shared" si="5"/>
        <v>616703.69371803571</v>
      </c>
    </row>
    <row r="76" spans="1:10" x14ac:dyDescent="0.25">
      <c r="A76">
        <f t="shared" si="12"/>
        <v>17</v>
      </c>
      <c r="B76">
        <f t="shared" si="9"/>
        <v>128.25552835842709</v>
      </c>
      <c r="C76">
        <f t="shared" si="10"/>
        <v>1.3469152728590867</v>
      </c>
      <c r="D76">
        <f>D75*(1+$B$5)</f>
        <v>1.4002414191924248</v>
      </c>
      <c r="G76">
        <f t="shared" si="6"/>
        <v>81</v>
      </c>
      <c r="H76">
        <f t="shared" si="7"/>
        <v>33326999.46077393</v>
      </c>
      <c r="I76">
        <f t="shared" si="11"/>
        <v>33.326999460773933</v>
      </c>
      <c r="J76">
        <f t="shared" si="5"/>
        <v>666539.98921547865</v>
      </c>
    </row>
    <row r="77" spans="1:10" x14ac:dyDescent="0.25">
      <c r="A77">
        <f t="shared" si="12"/>
        <v>17.25</v>
      </c>
      <c r="B77">
        <f t="shared" si="9"/>
        <v>129.60244363128618</v>
      </c>
      <c r="C77">
        <f t="shared" si="10"/>
        <v>1.3610603220080879</v>
      </c>
      <c r="D77">
        <f>D76</f>
        <v>1.4002414191924248</v>
      </c>
      <c r="G77">
        <f t="shared" si="6"/>
        <v>82</v>
      </c>
      <c r="H77">
        <f t="shared" si="7"/>
        <v>36018159.417635843</v>
      </c>
      <c r="I77">
        <f t="shared" si="11"/>
        <v>36.018159417635843</v>
      </c>
      <c r="J77">
        <f t="shared" si="5"/>
        <v>720363.18835271685</v>
      </c>
    </row>
    <row r="78" spans="1:10" x14ac:dyDescent="0.25">
      <c r="A78">
        <f t="shared" si="12"/>
        <v>17.5</v>
      </c>
      <c r="B78">
        <f t="shared" si="9"/>
        <v>130.96350395329426</v>
      </c>
      <c r="C78">
        <f t="shared" si="10"/>
        <v>1.3753539197848013</v>
      </c>
      <c r="D78">
        <f>D77</f>
        <v>1.4002414191924248</v>
      </c>
      <c r="G78">
        <f t="shared" si="6"/>
        <v>83</v>
      </c>
      <c r="H78">
        <f t="shared" si="7"/>
        <v>38924612.171046712</v>
      </c>
      <c r="I78">
        <f t="shared" si="11"/>
        <v>38.924612171046711</v>
      </c>
      <c r="J78">
        <f t="shared" si="5"/>
        <v>778492.24342093419</v>
      </c>
    </row>
    <row r="79" spans="1:10" x14ac:dyDescent="0.25">
      <c r="A79">
        <f t="shared" si="12"/>
        <v>17.75</v>
      </c>
      <c r="B79">
        <f t="shared" si="9"/>
        <v>132.33885787307906</v>
      </c>
      <c r="C79">
        <f t="shared" si="10"/>
        <v>1.3897976262187861</v>
      </c>
      <c r="D79">
        <f>D78</f>
        <v>1.4002414191924248</v>
      </c>
      <c r="G79">
        <f t="shared" si="6"/>
        <v>84</v>
      </c>
      <c r="H79">
        <f t="shared" si="7"/>
        <v>42063581.144730449</v>
      </c>
      <c r="I79">
        <f t="shared" si="11"/>
        <v>42.063581144730449</v>
      </c>
      <c r="J79">
        <f t="shared" si="5"/>
        <v>841271.622894609</v>
      </c>
    </row>
    <row r="80" spans="1:10" x14ac:dyDescent="0.25">
      <c r="A80">
        <f t="shared" si="12"/>
        <v>18</v>
      </c>
      <c r="B80">
        <f t="shared" si="9"/>
        <v>133.72865549929784</v>
      </c>
      <c r="C80">
        <f t="shared" si="10"/>
        <v>1.4324808780771923</v>
      </c>
      <c r="D80">
        <f>D79*(1+$B$5)</f>
        <v>1.4282462475762734</v>
      </c>
      <c r="G80">
        <f t="shared" si="6"/>
        <v>85</v>
      </c>
      <c r="H80">
        <f t="shared" si="7"/>
        <v>45453667.636308886</v>
      </c>
      <c r="I80">
        <f t="shared" si="11"/>
        <v>45.453667636308886</v>
      </c>
      <c r="J80">
        <f t="shared" si="5"/>
        <v>909073.35272617778</v>
      </c>
    </row>
    <row r="81" spans="1:10" x14ac:dyDescent="0.25">
      <c r="A81">
        <f t="shared" si="12"/>
        <v>18.25</v>
      </c>
      <c r="B81">
        <f t="shared" si="9"/>
        <v>135.16113637737504</v>
      </c>
      <c r="C81">
        <f t="shared" si="10"/>
        <v>1.4478253938684813</v>
      </c>
      <c r="D81">
        <f>D80</f>
        <v>1.4282462475762734</v>
      </c>
      <c r="G81">
        <f t="shared" si="6"/>
        <v>86</v>
      </c>
      <c r="H81">
        <f t="shared" si="7"/>
        <v>49114961.047213599</v>
      </c>
      <c r="I81">
        <f t="shared" si="11"/>
        <v>49.114961047213598</v>
      </c>
      <c r="J81">
        <f t="shared" si="5"/>
        <v>982299.220944272</v>
      </c>
    </row>
    <row r="82" spans="1:10" x14ac:dyDescent="0.25">
      <c r="A82">
        <f t="shared" si="12"/>
        <v>18.5</v>
      </c>
      <c r="B82">
        <f t="shared" si="9"/>
        <v>136.60896177124351</v>
      </c>
      <c r="C82">
        <f t="shared" si="10"/>
        <v>1.4633342777630183</v>
      </c>
      <c r="D82">
        <f>D81</f>
        <v>1.4282462475762734</v>
      </c>
      <c r="G82">
        <f t="shared" si="6"/>
        <v>87</v>
      </c>
      <c r="H82">
        <f t="shared" si="7"/>
        <v>53069157.930990689</v>
      </c>
      <c r="I82">
        <f t="shared" si="11"/>
        <v>53.069157930990691</v>
      </c>
      <c r="J82">
        <f t="shared" si="5"/>
        <v>1061383.1586198139</v>
      </c>
    </row>
    <row r="83" spans="1:10" x14ac:dyDescent="0.25">
      <c r="A83">
        <f t="shared" si="12"/>
        <v>18.75</v>
      </c>
      <c r="B83">
        <f t="shared" si="9"/>
        <v>138.07229604900652</v>
      </c>
      <c r="C83">
        <f t="shared" si="10"/>
        <v>1.479009290446754</v>
      </c>
      <c r="D83">
        <f>D82</f>
        <v>1.4282462475762734</v>
      </c>
      <c r="G83">
        <f t="shared" si="6"/>
        <v>88</v>
      </c>
      <c r="H83">
        <f t="shared" si="7"/>
        <v>57339690.56546995</v>
      </c>
      <c r="I83">
        <f t="shared" si="11"/>
        <v>57.339690565469951</v>
      </c>
      <c r="J83">
        <f t="shared" ref="J83:J108" si="13">H83*0.02</f>
        <v>1146793.8113093991</v>
      </c>
    </row>
    <row r="84" spans="1:10" x14ac:dyDescent="0.25">
      <c r="A84">
        <f t="shared" si="12"/>
        <v>19</v>
      </c>
      <c r="B84">
        <f t="shared" si="9"/>
        <v>139.55130533945328</v>
      </c>
      <c r="C84">
        <f t="shared" si="10"/>
        <v>1.5247492556951534</v>
      </c>
      <c r="D84">
        <f>D83*(1+$B$5)</f>
        <v>1.4568111725277988</v>
      </c>
      <c r="G84">
        <f t="shared" ref="G84:G108" si="14">G83+1</f>
        <v>89</v>
      </c>
      <c r="H84">
        <f t="shared" ref="H84:H108" si="15">H83*1.08+25000</f>
        <v>61951865.810707554</v>
      </c>
      <c r="I84">
        <f t="shared" si="11"/>
        <v>61.951865810707552</v>
      </c>
      <c r="J84">
        <f t="shared" si="13"/>
        <v>1239037.3162141512</v>
      </c>
    </row>
    <row r="85" spans="1:10" x14ac:dyDescent="0.25">
      <c r="A85">
        <f t="shared" si="12"/>
        <v>19.25</v>
      </c>
      <c r="B85">
        <f t="shared" si="9"/>
        <v>141.07605459514843</v>
      </c>
      <c r="C85">
        <f t="shared" si="10"/>
        <v>1.5414087938276546</v>
      </c>
      <c r="D85">
        <f>D84</f>
        <v>1.4568111725277988</v>
      </c>
      <c r="G85">
        <f t="shared" si="14"/>
        <v>90</v>
      </c>
      <c r="H85">
        <f t="shared" si="15"/>
        <v>66933015.075564161</v>
      </c>
      <c r="I85">
        <f t="shared" si="11"/>
        <v>66.933015075564157</v>
      </c>
      <c r="J85">
        <f t="shared" si="13"/>
        <v>1338660.3015112833</v>
      </c>
    </row>
    <row r="86" spans="1:10" x14ac:dyDescent="0.25">
      <c r="A86">
        <f t="shared" si="12"/>
        <v>19.5</v>
      </c>
      <c r="B86">
        <f t="shared" si="9"/>
        <v>142.61746338897609</v>
      </c>
      <c r="C86">
        <f t="shared" si="10"/>
        <v>1.55825035546976</v>
      </c>
      <c r="D86">
        <f>D85</f>
        <v>1.4568111725277988</v>
      </c>
      <c r="G86">
        <f t="shared" si="14"/>
        <v>91</v>
      </c>
      <c r="H86">
        <f t="shared" si="15"/>
        <v>72312656.281609297</v>
      </c>
      <c r="I86">
        <f t="shared" si="11"/>
        <v>72.312656281609293</v>
      </c>
      <c r="J86">
        <f t="shared" si="13"/>
        <v>1446253.125632186</v>
      </c>
    </row>
    <row r="87" spans="1:10" x14ac:dyDescent="0.25">
      <c r="A87">
        <f t="shared" si="12"/>
        <v>19.75</v>
      </c>
      <c r="B87">
        <f t="shared" si="9"/>
        <v>144.17571374444586</v>
      </c>
      <c r="C87">
        <f t="shared" si="10"/>
        <v>1.5752759294255883</v>
      </c>
      <c r="D87">
        <f>D86</f>
        <v>1.4568111725277988</v>
      </c>
      <c r="G87">
        <f t="shared" si="14"/>
        <v>92</v>
      </c>
      <c r="H87">
        <f t="shared" si="15"/>
        <v>78122668.784138039</v>
      </c>
      <c r="I87">
        <f t="shared" si="11"/>
        <v>78.122668784138042</v>
      </c>
      <c r="J87">
        <f t="shared" si="13"/>
        <v>1562453.3756827607</v>
      </c>
    </row>
    <row r="88" spans="1:10" x14ac:dyDescent="0.25">
      <c r="A88">
        <f t="shared" si="12"/>
        <v>20</v>
      </c>
      <c r="B88">
        <f t="shared" si="9"/>
        <v>145.75098967387146</v>
      </c>
      <c r="C88">
        <f t="shared" si="10"/>
        <v>1.6243372767536803</v>
      </c>
      <c r="D88">
        <f>D87*(1+$B$5)</f>
        <v>1.4859473959783549</v>
      </c>
      <c r="G88">
        <f t="shared" si="14"/>
        <v>93</v>
      </c>
      <c r="H88">
        <f t="shared" si="15"/>
        <v>84397482.286869094</v>
      </c>
      <c r="I88">
        <f t="shared" si="11"/>
        <v>84.397482286869092</v>
      </c>
      <c r="J88">
        <f t="shared" si="13"/>
        <v>1687949.6457373819</v>
      </c>
    </row>
    <row r="89" spans="1:10" x14ac:dyDescent="0.25">
      <c r="A89">
        <f t="shared" si="12"/>
        <v>20.25</v>
      </c>
      <c r="B89">
        <f t="shared" si="9"/>
        <v>147.37532695062515</v>
      </c>
      <c r="C89">
        <f t="shared" si="10"/>
        <v>1.6424398748530509</v>
      </c>
      <c r="D89">
        <f>D88</f>
        <v>1.4859473959783549</v>
      </c>
      <c r="G89">
        <f t="shared" si="14"/>
        <v>94</v>
      </c>
      <c r="H89">
        <f t="shared" si="15"/>
        <v>91174280.869818628</v>
      </c>
      <c r="I89">
        <f t="shared" si="11"/>
        <v>91.174280869818631</v>
      </c>
      <c r="J89">
        <f t="shared" si="13"/>
        <v>1823485.6173963726</v>
      </c>
    </row>
    <row r="90" spans="1:10" x14ac:dyDescent="0.25">
      <c r="A90">
        <f t="shared" si="12"/>
        <v>20.5</v>
      </c>
      <c r="B90">
        <f t="shared" si="9"/>
        <v>149.01776682547819</v>
      </c>
      <c r="C90">
        <f t="shared" si="10"/>
        <v>1.6607442192662176</v>
      </c>
      <c r="D90">
        <f>D89</f>
        <v>1.4859473959783549</v>
      </c>
      <c r="G90">
        <f t="shared" si="14"/>
        <v>95</v>
      </c>
      <c r="H90">
        <f t="shared" si="15"/>
        <v>98493223.339404121</v>
      </c>
      <c r="I90">
        <f t="shared" si="11"/>
        <v>98.493223339404125</v>
      </c>
      <c r="J90">
        <f t="shared" si="13"/>
        <v>1969864.4667880824</v>
      </c>
    </row>
    <row r="91" spans="1:10" x14ac:dyDescent="0.25">
      <c r="A91">
        <f t="shared" si="12"/>
        <v>20.75</v>
      </c>
      <c r="B91">
        <f t="shared" si="9"/>
        <v>150.6785110447444</v>
      </c>
      <c r="C91">
        <f t="shared" si="10"/>
        <v>1.679252558376253</v>
      </c>
      <c r="D91">
        <f>D90</f>
        <v>1.4859473959783549</v>
      </c>
      <c r="G91">
        <f t="shared" si="14"/>
        <v>96</v>
      </c>
      <c r="H91">
        <f t="shared" si="15"/>
        <v>106397681.20655645</v>
      </c>
      <c r="I91">
        <f t="shared" si="11"/>
        <v>106.39768120655646</v>
      </c>
      <c r="J91">
        <f t="shared" si="13"/>
        <v>2127953.6241311291</v>
      </c>
    </row>
    <row r="92" spans="1:10" x14ac:dyDescent="0.25">
      <c r="A92">
        <f t="shared" si="12"/>
        <v>21</v>
      </c>
      <c r="B92">
        <f t="shared" si="9"/>
        <v>152.35776360312065</v>
      </c>
      <c r="C92">
        <f t="shared" si="10"/>
        <v>1.7319265089360432</v>
      </c>
      <c r="D92">
        <f>D91*(1+$B$5)</f>
        <v>1.5156663438979221</v>
      </c>
      <c r="G92">
        <f t="shared" si="14"/>
        <v>97</v>
      </c>
      <c r="H92">
        <f t="shared" si="15"/>
        <v>114934495.70308098</v>
      </c>
      <c r="I92">
        <f t="shared" si="11"/>
        <v>114.93449570308098</v>
      </c>
      <c r="J92">
        <f t="shared" si="13"/>
        <v>2298689.9140616199</v>
      </c>
    </row>
    <row r="93" spans="1:10" x14ac:dyDescent="0.25">
      <c r="A93">
        <f t="shared" si="12"/>
        <v>21.25</v>
      </c>
      <c r="B93">
        <f t="shared" si="9"/>
        <v>154.0896901120567</v>
      </c>
      <c r="C93">
        <f t="shared" si="10"/>
        <v>1.7516141793337856</v>
      </c>
      <c r="D93">
        <f>D92</f>
        <v>1.5156663438979221</v>
      </c>
      <c r="G93">
        <f t="shared" si="14"/>
        <v>98</v>
      </c>
      <c r="H93">
        <f t="shared" si="15"/>
        <v>124154255.35932747</v>
      </c>
      <c r="I93">
        <f t="shared" si="11"/>
        <v>124.15425535932746</v>
      </c>
      <c r="J93">
        <f t="shared" si="13"/>
        <v>2483085.1071865493</v>
      </c>
    </row>
    <row r="94" spans="1:10" x14ac:dyDescent="0.25">
      <c r="A94">
        <f t="shared" si="12"/>
        <v>21.5</v>
      </c>
      <c r="B94">
        <f t="shared" si="9"/>
        <v>155.84130429139049</v>
      </c>
      <c r="C94">
        <f t="shared" si="10"/>
        <v>1.7715256492771152</v>
      </c>
      <c r="D94">
        <f>D93</f>
        <v>1.5156663438979221</v>
      </c>
      <c r="G94">
        <f t="shared" si="14"/>
        <v>99</v>
      </c>
      <c r="H94">
        <f t="shared" si="15"/>
        <v>134111595.78807367</v>
      </c>
      <c r="I94">
        <f t="shared" si="11"/>
        <v>134.11159578807369</v>
      </c>
      <c r="J94">
        <f t="shared" si="13"/>
        <v>2682231.9157614736</v>
      </c>
    </row>
    <row r="95" spans="1:10" x14ac:dyDescent="0.25">
      <c r="A95">
        <f t="shared" si="12"/>
        <v>21.75</v>
      </c>
      <c r="B95">
        <f t="shared" si="9"/>
        <v>157.61282994066761</v>
      </c>
      <c r="C95">
        <f t="shared" si="10"/>
        <v>1.7916634628068244</v>
      </c>
      <c r="D95">
        <f>D94</f>
        <v>1.5156663438979221</v>
      </c>
      <c r="G95">
        <f t="shared" si="14"/>
        <v>100</v>
      </c>
      <c r="H95">
        <f t="shared" si="15"/>
        <v>144865523.45111957</v>
      </c>
      <c r="I95">
        <f t="shared" si="11"/>
        <v>144.86552345111957</v>
      </c>
      <c r="J95">
        <f t="shared" si="13"/>
        <v>2897310.4690223914</v>
      </c>
    </row>
    <row r="96" spans="1:10" x14ac:dyDescent="0.25">
      <c r="A96">
        <f t="shared" si="12"/>
        <v>22</v>
      </c>
      <c r="B96">
        <f t="shared" si="9"/>
        <v>159.40449340347445</v>
      </c>
      <c r="C96">
        <f t="shared" si="10"/>
        <v>1.8482707967407459</v>
      </c>
      <c r="D96">
        <f>D95*(1+$B$5)</f>
        <v>1.5459796707758806</v>
      </c>
      <c r="G96">
        <f t="shared" si="14"/>
        <v>101</v>
      </c>
      <c r="H96">
        <f t="shared" si="15"/>
        <v>156479765.32720914</v>
      </c>
      <c r="I96">
        <f t="shared" si="11"/>
        <v>156.47976532720915</v>
      </c>
      <c r="J96">
        <f t="shared" si="13"/>
        <v>3129595.3065441828</v>
      </c>
    </row>
    <row r="97" spans="1:10" x14ac:dyDescent="0.25">
      <c r="A97">
        <f t="shared" si="12"/>
        <v>22.25</v>
      </c>
      <c r="B97">
        <f t="shared" si="9"/>
        <v>161.25276420021518</v>
      </c>
      <c r="C97">
        <f t="shared" si="10"/>
        <v>1.8697012148246202</v>
      </c>
      <c r="D97">
        <f>D96</f>
        <v>1.5459796707758806</v>
      </c>
      <c r="G97">
        <f t="shared" si="14"/>
        <v>102</v>
      </c>
      <c r="H97">
        <f t="shared" si="15"/>
        <v>169023146.55338588</v>
      </c>
      <c r="I97">
        <f t="shared" si="11"/>
        <v>169.02314655338589</v>
      </c>
      <c r="J97">
        <f t="shared" si="13"/>
        <v>3380462.9310677177</v>
      </c>
    </row>
    <row r="98" spans="1:10" x14ac:dyDescent="0.25">
      <c r="A98">
        <f t="shared" si="12"/>
        <v>22.5</v>
      </c>
      <c r="B98">
        <f t="shared" si="9"/>
        <v>163.12246541503981</v>
      </c>
      <c r="C98">
        <f t="shared" si="10"/>
        <v>1.8913801153386991</v>
      </c>
      <c r="D98">
        <f>D97</f>
        <v>1.5459796707758806</v>
      </c>
      <c r="G98">
        <f t="shared" si="14"/>
        <v>103</v>
      </c>
      <c r="H98">
        <f t="shared" si="15"/>
        <v>182569998.27765676</v>
      </c>
      <c r="I98">
        <f t="shared" si="11"/>
        <v>182.56999827765677</v>
      </c>
      <c r="J98">
        <f t="shared" si="13"/>
        <v>3651399.9655531351</v>
      </c>
    </row>
    <row r="99" spans="1:10" x14ac:dyDescent="0.25">
      <c r="A99">
        <f t="shared" si="12"/>
        <v>22.75</v>
      </c>
      <c r="B99">
        <f t="shared" si="9"/>
        <v>165.01384553037852</v>
      </c>
      <c r="C99">
        <f t="shared" si="10"/>
        <v>1.9133103793988744</v>
      </c>
      <c r="D99">
        <f>D98</f>
        <v>1.5459796707758806</v>
      </c>
      <c r="G99">
        <f t="shared" si="14"/>
        <v>104</v>
      </c>
      <c r="H99">
        <f t="shared" si="15"/>
        <v>197200598.13986933</v>
      </c>
      <c r="I99">
        <f t="shared" si="11"/>
        <v>197.20059813986933</v>
      </c>
      <c r="J99">
        <f t="shared" si="13"/>
        <v>3944011.9627973866</v>
      </c>
    </row>
    <row r="100" spans="1:10" x14ac:dyDescent="0.25">
      <c r="A100">
        <f t="shared" si="12"/>
        <v>23</v>
      </c>
      <c r="B100">
        <f t="shared" si="9"/>
        <v>166.92715590977738</v>
      </c>
      <c r="C100">
        <f t="shared" si="10"/>
        <v>1.9742048199576805</v>
      </c>
      <c r="D100">
        <f>D99*(1+$B$5)</f>
        <v>1.5768992641913981</v>
      </c>
      <c r="G100">
        <f t="shared" si="14"/>
        <v>105</v>
      </c>
      <c r="H100">
        <f t="shared" si="15"/>
        <v>213001645.99105889</v>
      </c>
      <c r="I100">
        <f t="shared" si="11"/>
        <v>213.00164599105889</v>
      </c>
      <c r="J100">
        <f t="shared" si="13"/>
        <v>4260032.9198211776</v>
      </c>
    </row>
    <row r="101" spans="1:10" x14ac:dyDescent="0.25">
      <c r="A101">
        <f t="shared" si="12"/>
        <v>23.25</v>
      </c>
      <c r="B101">
        <f t="shared" si="9"/>
        <v>168.90136072973507</v>
      </c>
      <c r="C101">
        <f t="shared" si="10"/>
        <v>1.9975532359173385</v>
      </c>
      <c r="D101">
        <f>D100</f>
        <v>1.5768992641913981</v>
      </c>
      <c r="G101">
        <f t="shared" si="14"/>
        <v>106</v>
      </c>
      <c r="H101">
        <f t="shared" si="15"/>
        <v>230066777.67034361</v>
      </c>
      <c r="I101">
        <f t="shared" si="11"/>
        <v>230.06677767034361</v>
      </c>
      <c r="J101">
        <f t="shared" si="13"/>
        <v>4601335.5534068719</v>
      </c>
    </row>
    <row r="102" spans="1:10" x14ac:dyDescent="0.25">
      <c r="A102">
        <f t="shared" si="12"/>
        <v>23.5</v>
      </c>
      <c r="B102">
        <f t="shared" si="9"/>
        <v>170.89891396565241</v>
      </c>
      <c r="C102">
        <f t="shared" si="10"/>
        <v>2.0211777876265975</v>
      </c>
      <c r="D102">
        <f>D101</f>
        <v>1.5768992641913981</v>
      </c>
      <c r="G102">
        <f t="shared" si="14"/>
        <v>107</v>
      </c>
      <c r="H102">
        <f t="shared" si="15"/>
        <v>248497119.88397112</v>
      </c>
      <c r="I102">
        <f t="shared" si="11"/>
        <v>248.49711988397112</v>
      </c>
      <c r="J102">
        <f t="shared" si="13"/>
        <v>4969942.397679423</v>
      </c>
    </row>
    <row r="103" spans="1:10" x14ac:dyDescent="0.25">
      <c r="A103">
        <f t="shared" si="12"/>
        <v>23.75</v>
      </c>
      <c r="B103">
        <f t="shared" si="9"/>
        <v>172.920091753279</v>
      </c>
      <c r="C103">
        <f t="shared" si="10"/>
        <v>2.0450817408724102</v>
      </c>
      <c r="D103">
        <f>D102</f>
        <v>1.5768992641913981</v>
      </c>
      <c r="G103">
        <f t="shared" si="14"/>
        <v>108</v>
      </c>
      <c r="H103">
        <f t="shared" si="15"/>
        <v>268401889.47468883</v>
      </c>
      <c r="I103">
        <f t="shared" si="11"/>
        <v>268.4018894746888</v>
      </c>
      <c r="J103">
        <f t="shared" si="13"/>
        <v>5368037.7894937769</v>
      </c>
    </row>
    <row r="104" spans="1:10" x14ac:dyDescent="0.25">
      <c r="A104">
        <f t="shared" si="12"/>
        <v>24</v>
      </c>
      <c r="B104">
        <f t="shared" si="9"/>
        <v>174.9651734941514</v>
      </c>
      <c r="C104">
        <f t="shared" si="10"/>
        <v>2.1106537680666646</v>
      </c>
      <c r="D104">
        <f>D103*(1+$B$5)</f>
        <v>1.6084372494752261</v>
      </c>
      <c r="G104">
        <f t="shared" si="14"/>
        <v>109</v>
      </c>
      <c r="H104">
        <f t="shared" si="15"/>
        <v>289899040.63266397</v>
      </c>
      <c r="I104">
        <f t="shared" si="11"/>
        <v>289.89904063266397</v>
      </c>
      <c r="J104">
        <f t="shared" si="13"/>
        <v>5797980.8126532799</v>
      </c>
    </row>
    <row r="105" spans="1:10" x14ac:dyDescent="0.25">
      <c r="A105">
        <f t="shared" si="12"/>
        <v>24.25</v>
      </c>
      <c r="B105">
        <f t="shared" ref="B105:B136" si="16">B104+C104</f>
        <v>177.07582726221807</v>
      </c>
      <c r="C105">
        <f t="shared" si="10"/>
        <v>2.1361151741264424</v>
      </c>
      <c r="D105">
        <f>D104</f>
        <v>1.6084372494752261</v>
      </c>
      <c r="G105">
        <f t="shared" si="14"/>
        <v>110</v>
      </c>
      <c r="H105">
        <f t="shared" si="15"/>
        <v>313115963.88327712</v>
      </c>
      <c r="I105">
        <f t="shared" si="11"/>
        <v>313.11596388327712</v>
      </c>
      <c r="J105">
        <f t="shared" si="13"/>
        <v>6262319.2776655424</v>
      </c>
    </row>
    <row r="106" spans="1:10" x14ac:dyDescent="0.25">
      <c r="A106">
        <f t="shared" si="12"/>
        <v>24.5</v>
      </c>
      <c r="B106">
        <f t="shared" si="16"/>
        <v>179.21194243634451</v>
      </c>
      <c r="C106">
        <f t="shared" si="10"/>
        <v>2.1618837282406989</v>
      </c>
      <c r="D106">
        <f>D105</f>
        <v>1.6084372494752261</v>
      </c>
      <c r="G106">
        <f t="shared" si="14"/>
        <v>111</v>
      </c>
      <c r="H106">
        <f t="shared" si="15"/>
        <v>338190240.99393928</v>
      </c>
      <c r="I106">
        <f t="shared" si="11"/>
        <v>338.19024099393926</v>
      </c>
      <c r="J106">
        <f t="shared" si="13"/>
        <v>6763804.8198787859</v>
      </c>
    </row>
    <row r="107" spans="1:10" x14ac:dyDescent="0.25">
      <c r="A107">
        <f t="shared" si="12"/>
        <v>24.75</v>
      </c>
      <c r="B107">
        <f t="shared" si="16"/>
        <v>181.37382616458521</v>
      </c>
      <c r="C107">
        <f t="shared" si="10"/>
        <v>2.1879631356222244</v>
      </c>
      <c r="D107">
        <f>D106</f>
        <v>1.6084372494752261</v>
      </c>
      <c r="G107">
        <f t="shared" si="14"/>
        <v>112</v>
      </c>
      <c r="H107">
        <f t="shared" si="15"/>
        <v>365270460.27345443</v>
      </c>
      <c r="I107">
        <f t="shared" si="11"/>
        <v>365.27046027345443</v>
      </c>
      <c r="J107">
        <f t="shared" si="13"/>
        <v>7305409.2054690886</v>
      </c>
    </row>
    <row r="108" spans="1:10" x14ac:dyDescent="0.25">
      <c r="A108">
        <f t="shared" si="12"/>
        <v>25</v>
      </c>
      <c r="B108">
        <f t="shared" si="16"/>
        <v>183.56178930020744</v>
      </c>
      <c r="C108">
        <f t="shared" si="10"/>
        <v>2.2586442891044411</v>
      </c>
      <c r="D108">
        <f>D107*(1+$B$5)</f>
        <v>1.6406059944647307</v>
      </c>
      <c r="G108">
        <f t="shared" si="14"/>
        <v>113</v>
      </c>
      <c r="H108">
        <f t="shared" si="15"/>
        <v>394517097.09533083</v>
      </c>
      <c r="I108">
        <f t="shared" si="11"/>
        <v>394.51709709533083</v>
      </c>
      <c r="J108">
        <f t="shared" si="13"/>
        <v>7890341.941906617</v>
      </c>
    </row>
    <row r="109" spans="1:10" x14ac:dyDescent="0.25">
      <c r="A109">
        <f t="shared" si="12"/>
        <v>25.25</v>
      </c>
      <c r="B109">
        <f t="shared" si="16"/>
        <v>185.82043358931188</v>
      </c>
      <c r="C109">
        <f t="shared" si="10"/>
        <v>2.2864358793049533</v>
      </c>
      <c r="D109">
        <f>D108</f>
        <v>1.6406059944647307</v>
      </c>
    </row>
    <row r="110" spans="1:10" x14ac:dyDescent="0.25">
      <c r="A110">
        <f t="shared" si="12"/>
        <v>25.5</v>
      </c>
      <c r="B110">
        <f t="shared" si="16"/>
        <v>188.10686946861682</v>
      </c>
      <c r="C110">
        <f t="shared" si="10"/>
        <v>2.3145694323765551</v>
      </c>
      <c r="D110">
        <f>D109</f>
        <v>1.6406059944647307</v>
      </c>
    </row>
    <row r="111" spans="1:10" x14ac:dyDescent="0.25">
      <c r="A111">
        <f t="shared" si="12"/>
        <v>25.75</v>
      </c>
      <c r="B111">
        <f t="shared" si="16"/>
        <v>190.42143890099337</v>
      </c>
      <c r="C111">
        <f t="shared" si="10"/>
        <v>2.3430491560167686</v>
      </c>
      <c r="D111">
        <f>D110</f>
        <v>1.6406059944647307</v>
      </c>
    </row>
    <row r="112" spans="1:10" x14ac:dyDescent="0.25">
      <c r="A112">
        <f t="shared" si="12"/>
        <v>26</v>
      </c>
      <c r="B112">
        <f t="shared" si="16"/>
        <v>192.76448805701014</v>
      </c>
      <c r="C112">
        <f t="shared" si="10"/>
        <v>2.4193168958908569</v>
      </c>
      <c r="D112">
        <f>D111*(1+$B$5)</f>
        <v>1.6734181143540252</v>
      </c>
    </row>
    <row r="113" spans="1:4" x14ac:dyDescent="0.25">
      <c r="A113">
        <f t="shared" si="12"/>
        <v>26.25</v>
      </c>
      <c r="B113">
        <f t="shared" si="16"/>
        <v>195.183804952901</v>
      </c>
      <c r="C113">
        <f t="shared" si="10"/>
        <v>2.4496808612754557</v>
      </c>
      <c r="D113">
        <f>D112</f>
        <v>1.6734181143540252</v>
      </c>
    </row>
    <row r="114" spans="1:4" x14ac:dyDescent="0.25">
      <c r="A114">
        <f t="shared" si="12"/>
        <v>26.5</v>
      </c>
      <c r="B114">
        <f t="shared" si="16"/>
        <v>197.63348581417645</v>
      </c>
      <c r="C114">
        <f t="shared" si="10"/>
        <v>2.4804259137327911</v>
      </c>
      <c r="D114">
        <f>D113</f>
        <v>1.6734181143540252</v>
      </c>
    </row>
    <row r="115" spans="1:4" x14ac:dyDescent="0.25">
      <c r="A115">
        <f t="shared" si="12"/>
        <v>26.75</v>
      </c>
      <c r="B115">
        <f t="shared" si="16"/>
        <v>200.11391172790925</v>
      </c>
      <c r="C115">
        <f t="shared" si="10"/>
        <v>2.511556836147943</v>
      </c>
      <c r="D115">
        <f>D114</f>
        <v>1.6734181143540252</v>
      </c>
    </row>
    <row r="116" spans="1:4" x14ac:dyDescent="0.25">
      <c r="A116">
        <f t="shared" si="12"/>
        <v>27</v>
      </c>
      <c r="B116">
        <f t="shared" si="16"/>
        <v>202.6254685640572</v>
      </c>
      <c r="C116">
        <f t="shared" si="10"/>
        <v>2.5939400408629254</v>
      </c>
      <c r="D116">
        <f>D115*(1+$B$5)</f>
        <v>1.7068864766411058</v>
      </c>
    </row>
    <row r="117" spans="1:4" x14ac:dyDescent="0.25">
      <c r="A117">
        <f t="shared" si="12"/>
        <v>27.25</v>
      </c>
      <c r="B117">
        <f t="shared" si="16"/>
        <v>205.21940860492012</v>
      </c>
      <c r="C117">
        <f t="shared" si="10"/>
        <v>2.6271467496901764</v>
      </c>
      <c r="D117">
        <f>D116</f>
        <v>1.7068864766411058</v>
      </c>
    </row>
    <row r="118" spans="1:4" x14ac:dyDescent="0.25">
      <c r="A118">
        <f t="shared" si="12"/>
        <v>27.5</v>
      </c>
      <c r="B118">
        <f t="shared" si="16"/>
        <v>207.8465553546103</v>
      </c>
      <c r="C118">
        <f t="shared" si="10"/>
        <v>2.6607785591341599</v>
      </c>
      <c r="D118">
        <f>D117</f>
        <v>1.7068864766411058</v>
      </c>
    </row>
    <row r="119" spans="1:4" x14ac:dyDescent="0.25">
      <c r="A119">
        <f t="shared" si="12"/>
        <v>27.75</v>
      </c>
      <c r="B119">
        <f t="shared" si="16"/>
        <v>210.50733391374447</v>
      </c>
      <c r="C119">
        <f t="shared" si="10"/>
        <v>2.6948409111835807</v>
      </c>
      <c r="D119">
        <f>D118</f>
        <v>1.7068864766411058</v>
      </c>
    </row>
    <row r="120" spans="1:4" x14ac:dyDescent="0.25">
      <c r="A120">
        <f t="shared" si="12"/>
        <v>28</v>
      </c>
      <c r="B120">
        <f t="shared" si="16"/>
        <v>213.20217482492805</v>
      </c>
      <c r="C120">
        <f t="shared" si="10"/>
        <v>2.7839261038434402</v>
      </c>
      <c r="D120">
        <f>D119*(1+$B$5)</f>
        <v>1.7410242061739281</v>
      </c>
    </row>
    <row r="121" spans="1:4" x14ac:dyDescent="0.25">
      <c r="A121">
        <f t="shared" si="12"/>
        <v>28.25</v>
      </c>
      <c r="B121">
        <f t="shared" si="16"/>
        <v>215.98610092877149</v>
      </c>
      <c r="C121">
        <f t="shared" si="10"/>
        <v>2.8202777243558721</v>
      </c>
      <c r="D121">
        <f>D120</f>
        <v>1.7410242061739281</v>
      </c>
    </row>
    <row r="122" spans="1:4" x14ac:dyDescent="0.25">
      <c r="A122">
        <f t="shared" si="12"/>
        <v>28.5</v>
      </c>
      <c r="B122">
        <f t="shared" si="16"/>
        <v>218.80637865312735</v>
      </c>
      <c r="C122">
        <f t="shared" si="10"/>
        <v>2.857104012752647</v>
      </c>
      <c r="D122">
        <f>D121</f>
        <v>1.7410242061739281</v>
      </c>
    </row>
    <row r="123" spans="1:4" x14ac:dyDescent="0.25">
      <c r="A123">
        <f t="shared" si="12"/>
        <v>28.75</v>
      </c>
      <c r="B123">
        <f t="shared" si="16"/>
        <v>221.66348266588</v>
      </c>
      <c r="C123">
        <f t="shared" si="10"/>
        <v>2.8944111670958397</v>
      </c>
      <c r="D123">
        <f>D122</f>
        <v>1.7410242061739281</v>
      </c>
    </row>
    <row r="124" spans="1:4" x14ac:dyDescent="0.25">
      <c r="A124">
        <f t="shared" si="12"/>
        <v>29</v>
      </c>
      <c r="B124">
        <f t="shared" si="16"/>
        <v>224.55789383297585</v>
      </c>
      <c r="C124">
        <f t="shared" si="10"/>
        <v>2.9908495757074416</v>
      </c>
      <c r="D124">
        <f>D123*(1+$B$5)</f>
        <v>1.7758446902974065</v>
      </c>
    </row>
    <row r="125" spans="1:4" x14ac:dyDescent="0.25">
      <c r="A125">
        <f t="shared" si="12"/>
        <v>29.25</v>
      </c>
      <c r="B125">
        <f t="shared" si="16"/>
        <v>227.54874340868329</v>
      </c>
      <c r="C125">
        <f t="shared" si="10"/>
        <v>3.0306842082461789</v>
      </c>
      <c r="D125">
        <f>D124</f>
        <v>1.7758446902974065</v>
      </c>
    </row>
    <row r="126" spans="1:4" x14ac:dyDescent="0.25">
      <c r="A126">
        <f t="shared" si="12"/>
        <v>29.5</v>
      </c>
      <c r="B126">
        <f t="shared" si="16"/>
        <v>230.57942761692948</v>
      </c>
      <c r="C126">
        <f t="shared" si="10"/>
        <v>3.0710493916900456</v>
      </c>
      <c r="D126">
        <f>D125</f>
        <v>1.7758446902974065</v>
      </c>
    </row>
    <row r="127" spans="1:4" x14ac:dyDescent="0.25">
      <c r="A127">
        <f t="shared" si="12"/>
        <v>29.75</v>
      </c>
      <c r="B127">
        <f t="shared" si="16"/>
        <v>233.65047700861953</v>
      </c>
      <c r="C127">
        <f t="shared" si="10"/>
        <v>3.1119521923590994</v>
      </c>
      <c r="D127">
        <f>D126</f>
        <v>1.7758446902974065</v>
      </c>
    </row>
    <row r="128" spans="1:4" x14ac:dyDescent="0.25">
      <c r="A128">
        <f t="shared" si="12"/>
        <v>30</v>
      </c>
      <c r="B128">
        <f t="shared" si="16"/>
        <v>236.76242920097863</v>
      </c>
      <c r="C128">
        <f t="shared" si="10"/>
        <v>3.2164677661023227</v>
      </c>
      <c r="D128">
        <f>D127*(1+$B$5)</f>
        <v>1.8113615841033548</v>
      </c>
    </row>
    <row r="129" spans="1:4" x14ac:dyDescent="0.25">
      <c r="A129">
        <f t="shared" si="12"/>
        <v>30.25</v>
      </c>
      <c r="B129">
        <f t="shared" si="16"/>
        <v>239.97889696708094</v>
      </c>
      <c r="C129">
        <f t="shared" si="10"/>
        <v>3.2601641622125062</v>
      </c>
      <c r="D129">
        <f>D128</f>
        <v>1.8113615841033548</v>
      </c>
    </row>
    <row r="130" spans="1:4" x14ac:dyDescent="0.25">
      <c r="A130">
        <f t="shared" si="12"/>
        <v>30.5</v>
      </c>
      <c r="B130">
        <f t="shared" si="16"/>
        <v>243.23906112929345</v>
      </c>
      <c r="C130">
        <f t="shared" si="10"/>
        <v>3.3044541831222731</v>
      </c>
      <c r="D130">
        <f>D129</f>
        <v>1.8113615841033548</v>
      </c>
    </row>
    <row r="131" spans="1:4" x14ac:dyDescent="0.25">
      <c r="A131">
        <f t="shared" si="12"/>
        <v>30.75</v>
      </c>
      <c r="B131">
        <f t="shared" si="16"/>
        <v>246.54351531241571</v>
      </c>
      <c r="C131">
        <f t="shared" si="10"/>
        <v>3.3493458933503026</v>
      </c>
      <c r="D131">
        <f>D130</f>
        <v>1.8113615841033548</v>
      </c>
    </row>
    <row r="132" spans="1:4" x14ac:dyDescent="0.25">
      <c r="A132">
        <f t="shared" si="12"/>
        <v>31</v>
      </c>
      <c r="B132">
        <f t="shared" si="16"/>
        <v>249.892861205766</v>
      </c>
      <c r="C132">
        <f t="shared" si="10"/>
        <v>3.4627444163129399</v>
      </c>
      <c r="D132">
        <f>D131*(1+$B$5)</f>
        <v>1.8475888157854219</v>
      </c>
    </row>
    <row r="133" spans="1:4" x14ac:dyDescent="0.25">
      <c r="A133">
        <f t="shared" si="12"/>
        <v>31.25</v>
      </c>
      <c r="B133">
        <f t="shared" si="16"/>
        <v>253.35560562207894</v>
      </c>
      <c r="C133">
        <f t="shared" si="10"/>
        <v>3.5107273752292141</v>
      </c>
      <c r="D133">
        <f>D132</f>
        <v>1.8475888157854219</v>
      </c>
    </row>
    <row r="134" spans="1:4" x14ac:dyDescent="0.25">
      <c r="A134">
        <f t="shared" si="12"/>
        <v>31.5</v>
      </c>
      <c r="B134">
        <f t="shared" si="16"/>
        <v>256.86633299730818</v>
      </c>
      <c r="C134">
        <f t="shared" si="10"/>
        <v>3.5593752299823032</v>
      </c>
      <c r="D134">
        <f>D133</f>
        <v>1.8475888157854219</v>
      </c>
    </row>
    <row r="135" spans="1:4" x14ac:dyDescent="0.25">
      <c r="A135">
        <f t="shared" si="12"/>
        <v>31.75</v>
      </c>
      <c r="B135">
        <f t="shared" si="16"/>
        <v>260.4257082272905</v>
      </c>
      <c r="C135">
        <f t="shared" si="10"/>
        <v>3.6086971939780459</v>
      </c>
      <c r="D135">
        <f>D134</f>
        <v>1.8475888157854219</v>
      </c>
    </row>
    <row r="136" spans="1:4" x14ac:dyDescent="0.25">
      <c r="A136">
        <f t="shared" si="12"/>
        <v>32</v>
      </c>
      <c r="B136">
        <f t="shared" si="16"/>
        <v>264.03440542126856</v>
      </c>
      <c r="C136">
        <f t="shared" si="10"/>
        <v>3.7318766604575053</v>
      </c>
      <c r="D136">
        <f>D135*(1+$B$5)</f>
        <v>1.8845405921011305</v>
      </c>
    </row>
    <row r="137" spans="1:4" x14ac:dyDescent="0.25">
      <c r="A137">
        <f t="shared" si="12"/>
        <v>32.25</v>
      </c>
      <c r="B137">
        <f t="shared" ref="B137:B148" si="17">B136+C136</f>
        <v>267.76628208172605</v>
      </c>
      <c r="C137">
        <f t="shared" ref="C137:C148" si="18">B137*(($B$4)*D137/4)</f>
        <v>3.7846232083426075</v>
      </c>
      <c r="D137">
        <f>D136</f>
        <v>1.8845405921011305</v>
      </c>
    </row>
    <row r="138" spans="1:4" x14ac:dyDescent="0.25">
      <c r="A138">
        <f t="shared" si="12"/>
        <v>32.5</v>
      </c>
      <c r="B138">
        <f t="shared" si="17"/>
        <v>271.55090529006867</v>
      </c>
      <c r="C138">
        <f t="shared" si="18"/>
        <v>3.8381152788070803</v>
      </c>
      <c r="D138">
        <f>D137</f>
        <v>1.8845405921011305</v>
      </c>
    </row>
    <row r="139" spans="1:4" x14ac:dyDescent="0.25">
      <c r="A139">
        <f t="shared" ref="A139:A148" si="19">A138+0.25</f>
        <v>32.75</v>
      </c>
      <c r="B139">
        <f t="shared" si="17"/>
        <v>275.38902056887576</v>
      </c>
      <c r="C139">
        <f t="shared" si="18"/>
        <v>3.8923634091076464</v>
      </c>
      <c r="D139">
        <f>D138</f>
        <v>1.8845405921011305</v>
      </c>
    </row>
    <row r="140" spans="1:4" x14ac:dyDescent="0.25">
      <c r="A140">
        <f t="shared" si="19"/>
        <v>33</v>
      </c>
      <c r="B140">
        <f t="shared" si="17"/>
        <v>279.28138397798341</v>
      </c>
      <c r="C140">
        <f t="shared" si="18"/>
        <v>4.026325851143894</v>
      </c>
      <c r="D140">
        <f>D139*(1+$B$5)</f>
        <v>1.9222314039431532</v>
      </c>
    </row>
    <row r="141" spans="1:4" x14ac:dyDescent="0.25">
      <c r="A141">
        <f t="shared" si="19"/>
        <v>33.25</v>
      </c>
      <c r="B141">
        <f t="shared" si="17"/>
        <v>283.3077098291273</v>
      </c>
      <c r="C141">
        <f t="shared" si="18"/>
        <v>4.0843723260957212</v>
      </c>
      <c r="D141">
        <f>D140</f>
        <v>1.9222314039431532</v>
      </c>
    </row>
    <row r="142" spans="1:4" x14ac:dyDescent="0.25">
      <c r="A142">
        <f t="shared" si="19"/>
        <v>33.5</v>
      </c>
      <c r="B142">
        <f t="shared" si="17"/>
        <v>287.39208215522302</v>
      </c>
      <c r="C142">
        <f t="shared" si="18"/>
        <v>4.1432556417253528</v>
      </c>
      <c r="D142">
        <f>D141</f>
        <v>1.9222314039431532</v>
      </c>
    </row>
    <row r="143" spans="1:4" x14ac:dyDescent="0.25">
      <c r="A143">
        <f t="shared" si="19"/>
        <v>33.75</v>
      </c>
      <c r="B143">
        <f t="shared" si="17"/>
        <v>291.5353377969484</v>
      </c>
      <c r="C143">
        <f t="shared" si="18"/>
        <v>4.2029878625435213</v>
      </c>
      <c r="D143">
        <f>D142</f>
        <v>1.9222314039431532</v>
      </c>
    </row>
    <row r="144" spans="1:4" x14ac:dyDescent="0.25">
      <c r="A144">
        <f t="shared" si="19"/>
        <v>34</v>
      </c>
      <c r="B144">
        <f t="shared" si="17"/>
        <v>295.73832565949192</v>
      </c>
      <c r="C144">
        <f t="shared" si="18"/>
        <v>4.3488528515316558</v>
      </c>
      <c r="D144">
        <f>D143*(1+$B$5)</f>
        <v>1.9606760320220162</v>
      </c>
    </row>
    <row r="145" spans="1:4" x14ac:dyDescent="0.25">
      <c r="A145">
        <f t="shared" si="19"/>
        <v>34.25</v>
      </c>
      <c r="B145">
        <f t="shared" si="17"/>
        <v>300.08717851102358</v>
      </c>
      <c r="C145">
        <f t="shared" si="18"/>
        <v>4.4128030381775707</v>
      </c>
      <c r="D145">
        <f>D144</f>
        <v>1.9606760320220162</v>
      </c>
    </row>
    <row r="146" spans="1:4" x14ac:dyDescent="0.25">
      <c r="A146">
        <f t="shared" si="19"/>
        <v>34.5</v>
      </c>
      <c r="B146">
        <f t="shared" si="17"/>
        <v>304.49998154920115</v>
      </c>
      <c r="C146">
        <f t="shared" si="18"/>
        <v>4.4776936168099866</v>
      </c>
      <c r="D146">
        <f>D145</f>
        <v>1.9606760320220162</v>
      </c>
    </row>
    <row r="147" spans="1:4" x14ac:dyDescent="0.25">
      <c r="A147">
        <f t="shared" si="19"/>
        <v>34.75</v>
      </c>
      <c r="B147">
        <f t="shared" si="17"/>
        <v>308.97767516601112</v>
      </c>
      <c r="C147">
        <f t="shared" si="18"/>
        <v>4.5435384159591159</v>
      </c>
      <c r="D147">
        <f>D146</f>
        <v>1.9606760320220162</v>
      </c>
    </row>
    <row r="148" spans="1:4" x14ac:dyDescent="0.25">
      <c r="A148">
        <f t="shared" si="19"/>
        <v>35</v>
      </c>
      <c r="B148">
        <f t="shared" si="17"/>
        <v>313.52121358197024</v>
      </c>
      <c r="C148">
        <f t="shared" si="18"/>
        <v>4.7025584968547767</v>
      </c>
      <c r="D148">
        <f>D147*(1+$B$5)</f>
        <v>1.9998895526624565</v>
      </c>
    </row>
  </sheetData>
  <mergeCells count="1">
    <mergeCell ref="E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workbookViewId="0">
      <selection activeCell="E31" sqref="E31"/>
    </sheetView>
  </sheetViews>
  <sheetFormatPr defaultRowHeight="15" x14ac:dyDescent="0.25"/>
  <cols>
    <col min="1" max="1" width="17.28515625" bestFit="1" customWidth="1"/>
    <col min="4" max="4" width="16.28515625" customWidth="1"/>
    <col min="5" max="5" width="22.7109375" bestFit="1" customWidth="1"/>
    <col min="6" max="6" width="35.7109375" customWidth="1"/>
  </cols>
  <sheetData>
    <row r="1" spans="1:6" x14ac:dyDescent="0.25">
      <c r="A1" t="s">
        <v>27</v>
      </c>
      <c r="E1" s="283" t="s">
        <v>28</v>
      </c>
      <c r="F1" s="283"/>
    </row>
    <row r="2" spans="1:6" x14ac:dyDescent="0.25">
      <c r="A2" t="s">
        <v>26</v>
      </c>
      <c r="B2" s="2">
        <v>25</v>
      </c>
      <c r="E2" t="s">
        <v>16</v>
      </c>
      <c r="F2">
        <f>B78</f>
        <v>21272.072373819246</v>
      </c>
    </row>
    <row r="3" spans="1:6" x14ac:dyDescent="0.25">
      <c r="A3" t="s">
        <v>24</v>
      </c>
      <c r="B3">
        <v>211.88200000000001</v>
      </c>
      <c r="E3" t="s">
        <v>29</v>
      </c>
      <c r="F3" s="3">
        <f>B2*F2</f>
        <v>531801.80934548122</v>
      </c>
    </row>
    <row r="4" spans="1:6" x14ac:dyDescent="0.25">
      <c r="A4" t="s">
        <v>25</v>
      </c>
      <c r="B4" s="4">
        <v>6.5000000000000002E-2</v>
      </c>
      <c r="E4" t="s">
        <v>30</v>
      </c>
      <c r="F4" s="3">
        <f>(B4/2)*F3</f>
        <v>17283.558803728141</v>
      </c>
    </row>
    <row r="5" spans="1:6" x14ac:dyDescent="0.25">
      <c r="A5" t="s">
        <v>120</v>
      </c>
      <c r="B5" s="4">
        <v>0.04</v>
      </c>
      <c r="E5" t="s">
        <v>31</v>
      </c>
      <c r="F5" s="3">
        <f>B4*F3</f>
        <v>34567.117607456283</v>
      </c>
    </row>
    <row r="6" spans="1:6" x14ac:dyDescent="0.25">
      <c r="E6" t="s">
        <v>43</v>
      </c>
      <c r="F6" s="1">
        <f>F2/B3</f>
        <v>100.39584473348017</v>
      </c>
    </row>
    <row r="7" spans="1:6" x14ac:dyDescent="0.25">
      <c r="A7" t="s">
        <v>15</v>
      </c>
      <c r="B7" t="s">
        <v>16</v>
      </c>
      <c r="C7" s="1" t="s">
        <v>23</v>
      </c>
      <c r="D7" s="1" t="s">
        <v>121</v>
      </c>
      <c r="E7" t="s">
        <v>44</v>
      </c>
      <c r="F7" s="4">
        <f>(((F2/B3))^(1/35))-1</f>
        <v>0.14075367942649342</v>
      </c>
    </row>
    <row r="8" spans="1:6" x14ac:dyDescent="0.25">
      <c r="A8">
        <v>0</v>
      </c>
      <c r="B8">
        <f>B3</f>
        <v>211.88200000000001</v>
      </c>
      <c r="C8">
        <f>B8*(($B$4)*D8/2)</f>
        <v>6.8861650000000001</v>
      </c>
      <c r="D8">
        <v>1</v>
      </c>
      <c r="F8" t="s">
        <v>32</v>
      </c>
    </row>
    <row r="9" spans="1:6" x14ac:dyDescent="0.25">
      <c r="A9">
        <v>0.5</v>
      </c>
      <c r="B9">
        <f t="shared" ref="B9:B72" si="0">B8+C8</f>
        <v>218.76816500000001</v>
      </c>
      <c r="C9">
        <f>B9*(($B$4)*D9/2)</f>
        <v>7.1099653625000006</v>
      </c>
      <c r="D9">
        <v>1</v>
      </c>
    </row>
    <row r="10" spans="1:6" x14ac:dyDescent="0.25">
      <c r="A10">
        <f>A9+0.5</f>
        <v>1</v>
      </c>
      <c r="B10">
        <f t="shared" si="0"/>
        <v>225.8781303625</v>
      </c>
      <c r="C10">
        <f t="shared" ref="C10:C72" si="1">B10*(($B$4)*D10/2)</f>
        <v>7.6346808062525007</v>
      </c>
      <c r="D10">
        <f>D9*(1+B5)</f>
        <v>1.04</v>
      </c>
    </row>
    <row r="11" spans="1:6" x14ac:dyDescent="0.25">
      <c r="A11">
        <f t="shared" ref="A11:A74" si="2">A10+0.5</f>
        <v>1.5</v>
      </c>
      <c r="B11">
        <f t="shared" si="0"/>
        <v>233.51281116875251</v>
      </c>
      <c r="C11">
        <f t="shared" si="1"/>
        <v>7.8927330175038355</v>
      </c>
      <c r="D11">
        <f>D10</f>
        <v>1.04</v>
      </c>
    </row>
    <row r="12" spans="1:6" x14ac:dyDescent="0.25">
      <c r="A12">
        <f t="shared" si="2"/>
        <v>2</v>
      </c>
      <c r="B12">
        <f t="shared" si="0"/>
        <v>241.40554418625635</v>
      </c>
      <c r="C12">
        <f t="shared" si="1"/>
        <v>8.4858876892352839</v>
      </c>
      <c r="D12">
        <f>D11*(1+B5)</f>
        <v>1.0816000000000001</v>
      </c>
    </row>
    <row r="13" spans="1:6" x14ac:dyDescent="0.25">
      <c r="A13">
        <f t="shared" si="2"/>
        <v>2.5</v>
      </c>
      <c r="B13">
        <f t="shared" si="0"/>
        <v>249.89143187549163</v>
      </c>
      <c r="C13">
        <f t="shared" si="1"/>
        <v>8.7841836132872828</v>
      </c>
      <c r="D13">
        <f>D12</f>
        <v>1.0816000000000001</v>
      </c>
    </row>
    <row r="14" spans="1:6" x14ac:dyDescent="0.25">
      <c r="A14">
        <f t="shared" si="2"/>
        <v>3</v>
      </c>
      <c r="B14">
        <f t="shared" si="0"/>
        <v>258.67561548877893</v>
      </c>
      <c r="C14">
        <f t="shared" si="1"/>
        <v>9.4566838450880208</v>
      </c>
      <c r="D14">
        <f>D13*(1+B5)</f>
        <v>1.1248640000000001</v>
      </c>
    </row>
    <row r="15" spans="1:6" x14ac:dyDescent="0.25">
      <c r="A15">
        <f t="shared" si="2"/>
        <v>3.5</v>
      </c>
      <c r="B15">
        <f t="shared" si="0"/>
        <v>268.13229933386697</v>
      </c>
      <c r="C15">
        <f t="shared" si="1"/>
        <v>9.802402049631457</v>
      </c>
      <c r="D15">
        <f>D14</f>
        <v>1.1248640000000001</v>
      </c>
    </row>
    <row r="16" spans="1:6" x14ac:dyDescent="0.25">
      <c r="A16">
        <f t="shared" si="2"/>
        <v>4</v>
      </c>
      <c r="B16">
        <f t="shared" si="0"/>
        <v>277.93470138349841</v>
      </c>
      <c r="C16">
        <f t="shared" si="1"/>
        <v>10.56718940987221</v>
      </c>
      <c r="D16">
        <f>D15*(1+$B$5)</f>
        <v>1.1698585600000002</v>
      </c>
    </row>
    <row r="17" spans="1:4" x14ac:dyDescent="0.25">
      <c r="A17">
        <f t="shared" si="2"/>
        <v>4.5</v>
      </c>
      <c r="B17">
        <f t="shared" si="0"/>
        <v>288.50189079337059</v>
      </c>
      <c r="C17">
        <f t="shared" si="1"/>
        <v>10.968958211926321</v>
      </c>
      <c r="D17">
        <f>D16</f>
        <v>1.1698585600000002</v>
      </c>
    </row>
    <row r="18" spans="1:4" x14ac:dyDescent="0.25">
      <c r="A18">
        <f t="shared" si="2"/>
        <v>5</v>
      </c>
      <c r="B18">
        <f t="shared" si="0"/>
        <v>299.47084900529694</v>
      </c>
      <c r="C18">
        <f t="shared" si="1"/>
        <v>11.84144252286082</v>
      </c>
      <c r="D18">
        <f>D17*(1+B5)</f>
        <v>1.2166529024000003</v>
      </c>
    </row>
    <row r="19" spans="1:4" x14ac:dyDescent="0.25">
      <c r="A19">
        <f t="shared" si="2"/>
        <v>5.5</v>
      </c>
      <c r="B19">
        <f t="shared" si="0"/>
        <v>311.31229152815774</v>
      </c>
      <c r="C19">
        <f t="shared" si="1"/>
        <v>12.309667598817166</v>
      </c>
      <c r="D19">
        <f>D18</f>
        <v>1.2166529024000003</v>
      </c>
    </row>
    <row r="20" spans="1:4" x14ac:dyDescent="0.25">
      <c r="A20">
        <f t="shared" si="2"/>
        <v>6</v>
      </c>
      <c r="B20">
        <f t="shared" si="0"/>
        <v>323.6219591269749</v>
      </c>
      <c r="C20">
        <f t="shared" si="1"/>
        <v>13.308263139804641</v>
      </c>
      <c r="D20" s="6">
        <f>D19*(1+B5)</f>
        <v>1.2653190184960004</v>
      </c>
    </row>
    <row r="21" spans="1:4" x14ac:dyDescent="0.25">
      <c r="A21">
        <f t="shared" si="2"/>
        <v>6.5</v>
      </c>
      <c r="B21">
        <f t="shared" si="0"/>
        <v>336.93022226677954</v>
      </c>
      <c r="C21">
        <f t="shared" si="1"/>
        <v>13.855537089557824</v>
      </c>
      <c r="D21">
        <f>D20</f>
        <v>1.2653190184960004</v>
      </c>
    </row>
    <row r="22" spans="1:4" x14ac:dyDescent="0.25">
      <c r="A22">
        <f t="shared" si="2"/>
        <v>7</v>
      </c>
      <c r="B22">
        <f t="shared" si="0"/>
        <v>350.78575935633734</v>
      </c>
      <c r="C22">
        <f t="shared" si="1"/>
        <v>15.002329174312361</v>
      </c>
      <c r="D22">
        <f>D21*(1+B5)</f>
        <v>1.3159317792358405</v>
      </c>
    </row>
    <row r="23" spans="1:4" x14ac:dyDescent="0.25">
      <c r="A23">
        <f t="shared" si="2"/>
        <v>7.5</v>
      </c>
      <c r="B23">
        <f t="shared" si="0"/>
        <v>365.7880885306497</v>
      </c>
      <c r="C23">
        <f t="shared" si="1"/>
        <v>15.643945530310987</v>
      </c>
      <c r="D23">
        <f>D22</f>
        <v>1.3159317792358405</v>
      </c>
    </row>
    <row r="24" spans="1:4" x14ac:dyDescent="0.25">
      <c r="A24">
        <f t="shared" si="2"/>
        <v>8</v>
      </c>
      <c r="B24">
        <f t="shared" si="0"/>
        <v>381.43203406096069</v>
      </c>
      <c r="C24">
        <f t="shared" si="1"/>
        <v>16.965522491091239</v>
      </c>
      <c r="D24">
        <f>D23*(1+$B$5)</f>
        <v>1.3685690504052741</v>
      </c>
    </row>
    <row r="25" spans="1:4" x14ac:dyDescent="0.25">
      <c r="A25">
        <f t="shared" si="2"/>
        <v>8.5</v>
      </c>
      <c r="B25">
        <f t="shared" si="0"/>
        <v>398.39755655205192</v>
      </c>
      <c r="C25">
        <f t="shared" si="1"/>
        <v>17.720123383762257</v>
      </c>
      <c r="D25">
        <f>D24</f>
        <v>1.3685690504052741</v>
      </c>
    </row>
    <row r="26" spans="1:4" x14ac:dyDescent="0.25">
      <c r="A26">
        <f t="shared" si="2"/>
        <v>9</v>
      </c>
      <c r="B26">
        <f t="shared" si="0"/>
        <v>416.11767993581418</v>
      </c>
      <c r="C26">
        <f t="shared" si="1"/>
        <v>19.248619299327181</v>
      </c>
      <c r="D26">
        <f>D25*(1+B5)</f>
        <v>1.4233118124214852</v>
      </c>
    </row>
    <row r="27" spans="1:4" x14ac:dyDescent="0.25">
      <c r="A27">
        <f t="shared" si="2"/>
        <v>9.5</v>
      </c>
      <c r="B27">
        <f t="shared" si="0"/>
        <v>435.36629923514135</v>
      </c>
      <c r="C27">
        <f t="shared" si="1"/>
        <v>20.139014884027119</v>
      </c>
      <c r="D27">
        <f>D26</f>
        <v>1.4233118124214852</v>
      </c>
    </row>
    <row r="28" spans="1:4" x14ac:dyDescent="0.25">
      <c r="A28">
        <f t="shared" si="2"/>
        <v>10</v>
      </c>
      <c r="B28">
        <f t="shared" si="0"/>
        <v>455.50531411916847</v>
      </c>
      <c r="C28">
        <f t="shared" si="1"/>
        <v>21.913421984182122</v>
      </c>
      <c r="D28">
        <f>D27*(1+$B$5)</f>
        <v>1.4802442849183446</v>
      </c>
    </row>
    <row r="29" spans="1:4" x14ac:dyDescent="0.25">
      <c r="A29">
        <f t="shared" si="2"/>
        <v>10.5</v>
      </c>
      <c r="B29">
        <f t="shared" si="0"/>
        <v>477.41873610335062</v>
      </c>
      <c r="C29">
        <f t="shared" si="1"/>
        <v>22.967631557972535</v>
      </c>
      <c r="D29">
        <f>D28</f>
        <v>1.4802442849183446</v>
      </c>
    </row>
    <row r="30" spans="1:4" x14ac:dyDescent="0.25">
      <c r="A30">
        <f t="shared" si="2"/>
        <v>11</v>
      </c>
      <c r="B30">
        <f t="shared" si="0"/>
        <v>500.38636766132316</v>
      </c>
      <c r="C30">
        <f t="shared" si="1"/>
        <v>25.035459261182247</v>
      </c>
      <c r="D30">
        <f>D29*(1+B5)</f>
        <v>1.5394540563150785</v>
      </c>
    </row>
    <row r="31" spans="1:4" x14ac:dyDescent="0.25">
      <c r="A31">
        <f t="shared" si="2"/>
        <v>11.5</v>
      </c>
      <c r="B31">
        <f t="shared" si="0"/>
        <v>525.42182692250537</v>
      </c>
      <c r="C31">
        <f t="shared" si="1"/>
        <v>26.288039788800727</v>
      </c>
      <c r="D31">
        <f>D30</f>
        <v>1.5394540563150785</v>
      </c>
    </row>
    <row r="32" spans="1:4" x14ac:dyDescent="0.25">
      <c r="A32">
        <f t="shared" si="2"/>
        <v>12</v>
      </c>
      <c r="B32">
        <f t="shared" si="0"/>
        <v>551.70986671130606</v>
      </c>
      <c r="C32">
        <f t="shared" si="1"/>
        <v>28.707421336960678</v>
      </c>
      <c r="D32">
        <f>D31*(1+$B$5)</f>
        <v>1.6010322185676817</v>
      </c>
    </row>
    <row r="33" spans="1:4" x14ac:dyDescent="0.25">
      <c r="A33">
        <f t="shared" si="2"/>
        <v>12.5</v>
      </c>
      <c r="B33">
        <f t="shared" si="0"/>
        <v>580.41728804826676</v>
      </c>
      <c r="C33">
        <f t="shared" si="1"/>
        <v>30.201170297315997</v>
      </c>
      <c r="D33">
        <f>D32</f>
        <v>1.6010322185676817</v>
      </c>
    </row>
    <row r="34" spans="1:4" x14ac:dyDescent="0.25">
      <c r="A34">
        <f t="shared" si="2"/>
        <v>13</v>
      </c>
      <c r="B34">
        <f t="shared" si="0"/>
        <v>610.61845834558278</v>
      </c>
      <c r="C34">
        <f t="shared" si="1"/>
        <v>33.043550087143124</v>
      </c>
      <c r="D34">
        <f>D33*(1+B5)</f>
        <v>1.6650735073103891</v>
      </c>
    </row>
    <row r="35" spans="1:4" x14ac:dyDescent="0.25">
      <c r="A35">
        <f t="shared" si="2"/>
        <v>13.5</v>
      </c>
      <c r="B35">
        <f t="shared" si="0"/>
        <v>643.66200843272588</v>
      </c>
      <c r="C35">
        <f t="shared" si="1"/>
        <v>34.831698131864663</v>
      </c>
      <c r="D35">
        <f>D34</f>
        <v>1.6650735073103891</v>
      </c>
    </row>
    <row r="36" spans="1:4" x14ac:dyDescent="0.25">
      <c r="A36">
        <f t="shared" si="2"/>
        <v>14</v>
      </c>
      <c r="B36">
        <f t="shared" si="0"/>
        <v>678.49370656459052</v>
      </c>
      <c r="C36">
        <f t="shared" si="1"/>
        <v>38.185276073900468</v>
      </c>
      <c r="D36">
        <f>D35*(1+$B$5)</f>
        <v>1.7316764476028046</v>
      </c>
    </row>
    <row r="37" spans="1:4" x14ac:dyDescent="0.25">
      <c r="A37">
        <f t="shared" si="2"/>
        <v>14.5</v>
      </c>
      <c r="B37">
        <f t="shared" si="0"/>
        <v>716.67898263849099</v>
      </c>
      <c r="C37">
        <f t="shared" si="1"/>
        <v>40.334323728627957</v>
      </c>
      <c r="D37">
        <f>D36</f>
        <v>1.7316764476028046</v>
      </c>
    </row>
    <row r="38" spans="1:4" x14ac:dyDescent="0.25">
      <c r="A38">
        <f t="shared" si="2"/>
        <v>15</v>
      </c>
      <c r="B38">
        <f t="shared" si="0"/>
        <v>757.01330636711896</v>
      </c>
      <c r="C38">
        <f t="shared" si="1"/>
        <v>44.308491424735877</v>
      </c>
      <c r="D38">
        <f>D37*(1+B5)</f>
        <v>1.8009435055069167</v>
      </c>
    </row>
    <row r="39" spans="1:4" x14ac:dyDescent="0.25">
      <c r="A39">
        <f t="shared" si="2"/>
        <v>15.5</v>
      </c>
      <c r="B39">
        <f t="shared" si="0"/>
        <v>801.32179779185481</v>
      </c>
      <c r="C39">
        <f t="shared" si="1"/>
        <v>46.901896845516951</v>
      </c>
      <c r="D39">
        <f>D38</f>
        <v>1.8009435055069167</v>
      </c>
    </row>
    <row r="40" spans="1:4" x14ac:dyDescent="0.25">
      <c r="A40">
        <f t="shared" si="2"/>
        <v>16</v>
      </c>
      <c r="B40">
        <f t="shared" si="0"/>
        <v>848.22369463737175</v>
      </c>
      <c r="C40">
        <f t="shared" si="1"/>
        <v>51.632979847709883</v>
      </c>
      <c r="D40">
        <f>D39*(1+$B$5)</f>
        <v>1.8729812457271935</v>
      </c>
    </row>
    <row r="41" spans="1:4" x14ac:dyDescent="0.25">
      <c r="A41">
        <f t="shared" si="2"/>
        <v>16.5</v>
      </c>
      <c r="B41">
        <f t="shared" si="0"/>
        <v>899.85667448508161</v>
      </c>
      <c r="C41">
        <f t="shared" si="1"/>
        <v>54.775976942472433</v>
      </c>
      <c r="D41">
        <f>D40</f>
        <v>1.8729812457271935</v>
      </c>
    </row>
    <row r="42" spans="1:4" x14ac:dyDescent="0.25">
      <c r="A42">
        <f t="shared" si="2"/>
        <v>17</v>
      </c>
      <c r="B42">
        <f t="shared" si="0"/>
        <v>954.63265142755404</v>
      </c>
      <c r="C42">
        <f t="shared" si="1"/>
        <v>60.43470598067303</v>
      </c>
      <c r="D42">
        <f>D41*(1+B5)</f>
        <v>1.9479004955562813</v>
      </c>
    </row>
    <row r="43" spans="1:4" x14ac:dyDescent="0.25">
      <c r="A43">
        <f t="shared" si="2"/>
        <v>17.5</v>
      </c>
      <c r="B43">
        <f t="shared" si="0"/>
        <v>1015.0673574082271</v>
      </c>
      <c r="C43">
        <f t="shared" si="1"/>
        <v>64.260631776850943</v>
      </c>
      <c r="D43">
        <f>D42</f>
        <v>1.9479004955562813</v>
      </c>
    </row>
    <row r="44" spans="1:4" x14ac:dyDescent="0.25">
      <c r="A44">
        <f t="shared" si="2"/>
        <v>18</v>
      </c>
      <c r="B44">
        <f t="shared" si="0"/>
        <v>1079.327989185078</v>
      </c>
      <c r="C44">
        <f t="shared" si="1"/>
        <v>71.061915145046569</v>
      </c>
      <c r="D44">
        <f>D43*(1+$B$5)</f>
        <v>2.0258165153785326</v>
      </c>
    </row>
    <row r="45" spans="1:4" x14ac:dyDescent="0.25">
      <c r="A45">
        <f t="shared" si="2"/>
        <v>18.5</v>
      </c>
      <c r="B45">
        <f t="shared" si="0"/>
        <v>1150.3899043301246</v>
      </c>
      <c r="C45">
        <f t="shared" si="1"/>
        <v>75.740563187792631</v>
      </c>
      <c r="D45">
        <f>D44</f>
        <v>2.0258165153785326</v>
      </c>
    </row>
    <row r="46" spans="1:4" x14ac:dyDescent="0.25">
      <c r="A46">
        <f t="shared" si="2"/>
        <v>19</v>
      </c>
      <c r="B46">
        <f t="shared" si="0"/>
        <v>1226.1304675179172</v>
      </c>
      <c r="C46">
        <f t="shared" si="1"/>
        <v>83.956338867403005</v>
      </c>
      <c r="D46">
        <f>D45*(1+B5)</f>
        <v>2.1068491759936738</v>
      </c>
    </row>
    <row r="47" spans="1:4" x14ac:dyDescent="0.25">
      <c r="A47">
        <f t="shared" si="2"/>
        <v>19.5</v>
      </c>
      <c r="B47">
        <f t="shared" si="0"/>
        <v>1310.0868063853202</v>
      </c>
      <c r="C47">
        <f t="shared" si="1"/>
        <v>89.7050475266756</v>
      </c>
      <c r="D47">
        <f>D46</f>
        <v>2.1068491759936738</v>
      </c>
    </row>
    <row r="48" spans="1:4" x14ac:dyDescent="0.25">
      <c r="A48">
        <f t="shared" si="2"/>
        <v>20</v>
      </c>
      <c r="B48">
        <f t="shared" si="0"/>
        <v>1399.7918539119958</v>
      </c>
      <c r="C48">
        <f t="shared" si="1"/>
        <v>99.681280612427514</v>
      </c>
      <c r="D48">
        <f>D47*(1+$B$5)</f>
        <v>2.1911231430334208</v>
      </c>
    </row>
    <row r="49" spans="1:4" x14ac:dyDescent="0.25">
      <c r="A49">
        <f t="shared" si="2"/>
        <v>20.5</v>
      </c>
      <c r="B49">
        <f t="shared" si="0"/>
        <v>1499.4731345244234</v>
      </c>
      <c r="C49">
        <f t="shared" si="1"/>
        <v>106.77973434093323</v>
      </c>
      <c r="D49">
        <f>D48</f>
        <v>2.1911231430334208</v>
      </c>
    </row>
    <row r="50" spans="1:4" x14ac:dyDescent="0.25">
      <c r="A50">
        <f t="shared" si="2"/>
        <v>21</v>
      </c>
      <c r="B50">
        <f t="shared" si="0"/>
        <v>1606.2528688653565</v>
      </c>
      <c r="C50">
        <f t="shared" si="1"/>
        <v>118.95902680727316</v>
      </c>
      <c r="D50">
        <f>D49*(1+B5)</f>
        <v>2.2787680687547578</v>
      </c>
    </row>
    <row r="51" spans="1:4" x14ac:dyDescent="0.25">
      <c r="A51">
        <f t="shared" si="2"/>
        <v>21.5</v>
      </c>
      <c r="B51">
        <f t="shared" si="0"/>
        <v>1725.2118956726297</v>
      </c>
      <c r="C51">
        <f t="shared" si="1"/>
        <v>127.76912784007622</v>
      </c>
      <c r="D51">
        <f>D50</f>
        <v>2.2787680687547578</v>
      </c>
    </row>
    <row r="52" spans="1:4" x14ac:dyDescent="0.25">
      <c r="A52">
        <f t="shared" si="2"/>
        <v>22</v>
      </c>
      <c r="B52">
        <f t="shared" si="0"/>
        <v>1852.9810235127059</v>
      </c>
      <c r="C52">
        <f t="shared" si="1"/>
        <v>142.7209728075571</v>
      </c>
      <c r="D52">
        <f>D51*(1+$B$5)</f>
        <v>2.369918791504948</v>
      </c>
    </row>
    <row r="53" spans="1:4" x14ac:dyDescent="0.25">
      <c r="A53">
        <f t="shared" si="2"/>
        <v>22.5</v>
      </c>
      <c r="B53">
        <f t="shared" si="0"/>
        <v>1995.7019963202629</v>
      </c>
      <c r="C53">
        <f t="shared" si="1"/>
        <v>153.71367905800824</v>
      </c>
      <c r="D53">
        <f>D52</f>
        <v>2.369918791504948</v>
      </c>
    </row>
    <row r="54" spans="1:4" x14ac:dyDescent="0.25">
      <c r="A54">
        <f t="shared" si="2"/>
        <v>23</v>
      </c>
      <c r="B54">
        <f t="shared" si="0"/>
        <v>2149.4156753782713</v>
      </c>
      <c r="C54">
        <f t="shared" si="1"/>
        <v>172.17519227439817</v>
      </c>
      <c r="D54">
        <f>D53*(1+B5)</f>
        <v>2.4647155431651462</v>
      </c>
    </row>
    <row r="55" spans="1:4" x14ac:dyDescent="0.25">
      <c r="A55">
        <f t="shared" si="2"/>
        <v>23.5</v>
      </c>
      <c r="B55">
        <f t="shared" si="0"/>
        <v>2321.5908676526697</v>
      </c>
      <c r="C55">
        <f t="shared" si="1"/>
        <v>185.96698563214829</v>
      </c>
      <c r="D55">
        <f>D54</f>
        <v>2.4647155431651462</v>
      </c>
    </row>
    <row r="56" spans="1:4" x14ac:dyDescent="0.25">
      <c r="A56">
        <f t="shared" si="2"/>
        <v>24</v>
      </c>
      <c r="B56">
        <f t="shared" si="0"/>
        <v>2507.5578532848181</v>
      </c>
      <c r="C56">
        <f t="shared" si="1"/>
        <v>208.89808839353987</v>
      </c>
      <c r="D56">
        <f>D55*(1+$B$5)</f>
        <v>2.5633041648917523</v>
      </c>
    </row>
    <row r="57" spans="1:4" x14ac:dyDescent="0.25">
      <c r="A57">
        <f t="shared" si="2"/>
        <v>24.5</v>
      </c>
      <c r="B57">
        <f t="shared" si="0"/>
        <v>2716.4559416783577</v>
      </c>
      <c r="C57">
        <f t="shared" si="1"/>
        <v>226.30084194409514</v>
      </c>
      <c r="D57">
        <f>D56</f>
        <v>2.5633041648917523</v>
      </c>
    </row>
    <row r="58" spans="1:4" x14ac:dyDescent="0.25">
      <c r="A58">
        <f t="shared" si="2"/>
        <v>25</v>
      </c>
      <c r="B58">
        <f t="shared" si="0"/>
        <v>2942.756783622453</v>
      </c>
      <c r="C58">
        <f t="shared" si="1"/>
        <v>254.95950832663374</v>
      </c>
      <c r="D58">
        <f>D57*(1+B5)</f>
        <v>2.6658363314874225</v>
      </c>
    </row>
    <row r="59" spans="1:4" x14ac:dyDescent="0.25">
      <c r="A59">
        <f t="shared" si="2"/>
        <v>25.5</v>
      </c>
      <c r="B59">
        <f t="shared" si="0"/>
        <v>3197.7162919490866</v>
      </c>
      <c r="C59">
        <f t="shared" si="1"/>
        <v>277.04911873818128</v>
      </c>
      <c r="D59">
        <f>D58</f>
        <v>2.6658363314874225</v>
      </c>
    </row>
    <row r="60" spans="1:4" x14ac:dyDescent="0.25">
      <c r="A60">
        <f t="shared" si="2"/>
        <v>26</v>
      </c>
      <c r="B60">
        <f t="shared" si="0"/>
        <v>3474.7654106872678</v>
      </c>
      <c r="C60">
        <f t="shared" si="1"/>
        <v>313.09466858196055</v>
      </c>
      <c r="D60">
        <f>D59*(1+$B$5)</f>
        <v>2.7724697847469195</v>
      </c>
    </row>
    <row r="61" spans="1:4" x14ac:dyDescent="0.25">
      <c r="A61">
        <f t="shared" si="2"/>
        <v>26.5</v>
      </c>
      <c r="B61">
        <f t="shared" si="0"/>
        <v>3787.8600792692282</v>
      </c>
      <c r="C61">
        <f t="shared" si="1"/>
        <v>341.30614760524776</v>
      </c>
      <c r="D61">
        <f>D60</f>
        <v>2.7724697847469195</v>
      </c>
    </row>
    <row r="62" spans="1:4" x14ac:dyDescent="0.25">
      <c r="A62">
        <f t="shared" si="2"/>
        <v>27</v>
      </c>
      <c r="B62">
        <f t="shared" si="0"/>
        <v>4129.1662268744758</v>
      </c>
      <c r="C62">
        <f t="shared" si="1"/>
        <v>386.94201468699418</v>
      </c>
      <c r="D62">
        <f>D61*(1+B5)</f>
        <v>2.8833685761367964</v>
      </c>
    </row>
    <row r="63" spans="1:4" x14ac:dyDescent="0.25">
      <c r="A63">
        <f t="shared" si="2"/>
        <v>27.5</v>
      </c>
      <c r="B63">
        <f t="shared" si="0"/>
        <v>4516.1082415614701</v>
      </c>
      <c r="C63">
        <f t="shared" si="1"/>
        <v>423.20214917989932</v>
      </c>
      <c r="D63">
        <f>D62</f>
        <v>2.8833685761367964</v>
      </c>
    </row>
    <row r="64" spans="1:4" x14ac:dyDescent="0.25">
      <c r="A64">
        <f t="shared" si="2"/>
        <v>28</v>
      </c>
      <c r="B64">
        <f t="shared" si="0"/>
        <v>4939.3103907413697</v>
      </c>
      <c r="C64">
        <f t="shared" si="1"/>
        <v>481.37461005359745</v>
      </c>
      <c r="D64">
        <f>D63*(1+$B$5)</f>
        <v>2.9987033191822685</v>
      </c>
    </row>
    <row r="65" spans="1:4" x14ac:dyDescent="0.25">
      <c r="A65">
        <f t="shared" si="2"/>
        <v>28.5</v>
      </c>
      <c r="B65">
        <f t="shared" si="0"/>
        <v>5420.685000794967</v>
      </c>
      <c r="C65">
        <f t="shared" si="1"/>
        <v>528.28834838407568</v>
      </c>
      <c r="D65">
        <f>D64</f>
        <v>2.9987033191822685</v>
      </c>
    </row>
    <row r="66" spans="1:4" x14ac:dyDescent="0.25">
      <c r="A66">
        <f t="shared" si="2"/>
        <v>29</v>
      </c>
      <c r="B66">
        <f t="shared" si="0"/>
        <v>5948.973349179043</v>
      </c>
      <c r="C66">
        <f t="shared" si="1"/>
        <v>602.96516712335983</v>
      </c>
      <c r="D66">
        <f>D65*(1+B5)</f>
        <v>3.1186514519495594</v>
      </c>
    </row>
    <row r="67" spans="1:4" x14ac:dyDescent="0.25">
      <c r="A67">
        <f t="shared" si="2"/>
        <v>29.5</v>
      </c>
      <c r="B67">
        <f t="shared" si="0"/>
        <v>6551.9385163024026</v>
      </c>
      <c r="C67">
        <f t="shared" si="1"/>
        <v>664.07940842589869</v>
      </c>
      <c r="D67">
        <f>D66</f>
        <v>3.1186514519495594</v>
      </c>
    </row>
    <row r="68" spans="1:4" x14ac:dyDescent="0.25">
      <c r="A68">
        <f t="shared" si="2"/>
        <v>30</v>
      </c>
      <c r="B68">
        <f t="shared" si="0"/>
        <v>7216.0179247283013</v>
      </c>
      <c r="C68">
        <f t="shared" si="1"/>
        <v>760.64347350478124</v>
      </c>
      <c r="D68">
        <f>D67*(1+$B$5)</f>
        <v>3.2433975100275418</v>
      </c>
    </row>
    <row r="69" spans="1:4" x14ac:dyDescent="0.25">
      <c r="A69">
        <f t="shared" si="2"/>
        <v>30.5</v>
      </c>
      <c r="B69">
        <f t="shared" si="0"/>
        <v>7976.6613982330828</v>
      </c>
      <c r="C69">
        <f t="shared" si="1"/>
        <v>840.8232208142648</v>
      </c>
      <c r="D69">
        <f>D68</f>
        <v>3.2433975100275418</v>
      </c>
    </row>
    <row r="70" spans="1:4" x14ac:dyDescent="0.25">
      <c r="A70">
        <f t="shared" si="2"/>
        <v>31</v>
      </c>
      <c r="B70">
        <f t="shared" si="0"/>
        <v>8817.4846190473472</v>
      </c>
      <c r="C70">
        <f t="shared" si="1"/>
        <v>966.63293884460188</v>
      </c>
      <c r="D70">
        <f>D69*(1+$B$5)</f>
        <v>3.3731334104286437</v>
      </c>
    </row>
    <row r="71" spans="1:4" x14ac:dyDescent="0.25">
      <c r="A71">
        <f t="shared" si="2"/>
        <v>31.5</v>
      </c>
      <c r="B71">
        <f t="shared" si="0"/>
        <v>9784.1175578919483</v>
      </c>
      <c r="C71">
        <f t="shared" si="1"/>
        <v>1072.6018493478223</v>
      </c>
      <c r="D71">
        <f>D70</f>
        <v>3.3731334104286437</v>
      </c>
    </row>
    <row r="72" spans="1:4" x14ac:dyDescent="0.25">
      <c r="A72">
        <f t="shared" si="2"/>
        <v>32</v>
      </c>
      <c r="B72">
        <f t="shared" si="0"/>
        <v>10856.719407239771</v>
      </c>
      <c r="C72">
        <f t="shared" si="1"/>
        <v>1237.7953080550822</v>
      </c>
      <c r="D72">
        <f>D71*(1+$B$5)</f>
        <v>3.5080587468457893</v>
      </c>
    </row>
    <row r="73" spans="1:4" x14ac:dyDescent="0.25">
      <c r="A73">
        <f t="shared" si="2"/>
        <v>32.5</v>
      </c>
      <c r="B73">
        <f t="shared" ref="B73:B78" si="3">B72+C72</f>
        <v>12094.514715294852</v>
      </c>
      <c r="C73">
        <f t="shared" ref="C73:C78" si="4">B73*(($B$4)*D73/2)</f>
        <v>1378.9187144149696</v>
      </c>
      <c r="D73">
        <f>D72</f>
        <v>3.5080587468457893</v>
      </c>
    </row>
    <row r="74" spans="1:4" x14ac:dyDescent="0.25">
      <c r="A74">
        <f t="shared" si="2"/>
        <v>33</v>
      </c>
      <c r="B74">
        <f t="shared" si="3"/>
        <v>13473.433429709821</v>
      </c>
      <c r="C74">
        <f t="shared" si="4"/>
        <v>1597.5771445680643</v>
      </c>
      <c r="D74">
        <f>D73*(1+$B$5)</f>
        <v>3.6483810967196209</v>
      </c>
    </row>
    <row r="75" spans="1:4" x14ac:dyDescent="0.25">
      <c r="A75">
        <f>A74+0.5</f>
        <v>33.5</v>
      </c>
      <c r="B75">
        <f t="shared" si="3"/>
        <v>15071.010574277885</v>
      </c>
      <c r="C75">
        <f t="shared" si="4"/>
        <v>1787.0056778488511</v>
      </c>
      <c r="D75">
        <f>D74</f>
        <v>3.6483810967196209</v>
      </c>
    </row>
    <row r="76" spans="1:4" x14ac:dyDescent="0.25">
      <c r="A76">
        <f>A75+0.5</f>
        <v>34</v>
      </c>
      <c r="B76">
        <f t="shared" si="3"/>
        <v>16858.016252126738</v>
      </c>
      <c r="C76">
        <f t="shared" si="4"/>
        <v>2078.8510123988553</v>
      </c>
      <c r="D76">
        <f>D75*(1+$B$5)</f>
        <v>3.7943163405884057</v>
      </c>
    </row>
    <row r="77" spans="1:4" x14ac:dyDescent="0.25">
      <c r="A77">
        <f>A76+0.5</f>
        <v>34.5</v>
      </c>
      <c r="B77">
        <f t="shared" si="3"/>
        <v>18936.867264525594</v>
      </c>
      <c r="C77">
        <f t="shared" si="4"/>
        <v>2335.2051092936517</v>
      </c>
      <c r="D77">
        <f>D76</f>
        <v>3.7943163405884057</v>
      </c>
    </row>
    <row r="78" spans="1:4" x14ac:dyDescent="0.25">
      <c r="A78">
        <f>A77+0.5</f>
        <v>35</v>
      </c>
      <c r="B78">
        <f t="shared" si="3"/>
        <v>21272.072373819246</v>
      </c>
      <c r="C78">
        <f t="shared" si="4"/>
        <v>2728.0984470482613</v>
      </c>
      <c r="D78">
        <f>D77*(1+$B$5)</f>
        <v>3.9460889942119421</v>
      </c>
    </row>
  </sheetData>
  <mergeCells count="1">
    <mergeCell ref="E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8"/>
  <sheetViews>
    <sheetView workbookViewId="0">
      <selection activeCell="B6" sqref="B6"/>
    </sheetView>
  </sheetViews>
  <sheetFormatPr defaultRowHeight="15" x14ac:dyDescent="0.25"/>
  <cols>
    <col min="1" max="1" width="14" bestFit="1" customWidth="1"/>
    <col min="4" max="4" width="16.85546875" customWidth="1"/>
    <col min="7" max="7" width="22.7109375" bestFit="1" customWidth="1"/>
    <col min="8" max="8" width="15" customWidth="1"/>
  </cols>
  <sheetData>
    <row r="1" spans="1:8" x14ac:dyDescent="0.25">
      <c r="A1" t="s">
        <v>27</v>
      </c>
      <c r="G1" s="283" t="s">
        <v>28</v>
      </c>
      <c r="H1" s="283"/>
    </row>
    <row r="2" spans="1:8" x14ac:dyDescent="0.25">
      <c r="A2" t="s">
        <v>26</v>
      </c>
      <c r="B2" s="2">
        <v>56</v>
      </c>
      <c r="G2" t="s">
        <v>16</v>
      </c>
      <c r="H2">
        <f>B428</f>
        <v>13026.762703128457</v>
      </c>
    </row>
    <row r="3" spans="1:8" x14ac:dyDescent="0.25">
      <c r="A3" t="s">
        <v>24</v>
      </c>
      <c r="B3">
        <v>112</v>
      </c>
      <c r="G3" t="s">
        <v>29</v>
      </c>
      <c r="H3" s="3">
        <f>B2*H2</f>
        <v>729498.71137519367</v>
      </c>
    </row>
    <row r="4" spans="1:8" x14ac:dyDescent="0.25">
      <c r="A4" t="s">
        <v>25</v>
      </c>
      <c r="B4" s="4">
        <v>6.5000000000000002E-2</v>
      </c>
      <c r="G4" t="s">
        <v>93</v>
      </c>
      <c r="H4" s="3">
        <f>(B4/12)*H3</f>
        <v>3951.4513532822994</v>
      </c>
    </row>
    <row r="5" spans="1:8" x14ac:dyDescent="0.25">
      <c r="A5" t="s">
        <v>106</v>
      </c>
      <c r="B5" s="4">
        <v>0.04</v>
      </c>
      <c r="G5" t="s">
        <v>31</v>
      </c>
      <c r="H5" s="3">
        <f>B4*H3</f>
        <v>47417.416239387589</v>
      </c>
    </row>
    <row r="6" spans="1:8" x14ac:dyDescent="0.25">
      <c r="D6" s="1"/>
      <c r="E6" s="1"/>
      <c r="F6" s="1"/>
      <c r="G6" t="s">
        <v>43</v>
      </c>
      <c r="H6" s="1">
        <f>H2/B3</f>
        <v>116.31038127793265</v>
      </c>
    </row>
    <row r="7" spans="1:8" x14ac:dyDescent="0.25">
      <c r="A7" t="s">
        <v>15</v>
      </c>
      <c r="B7" t="s">
        <v>16</v>
      </c>
      <c r="C7" s="1" t="s">
        <v>23</v>
      </c>
      <c r="D7" t="s">
        <v>121</v>
      </c>
      <c r="G7" t="s">
        <v>44</v>
      </c>
      <c r="H7" s="4">
        <f>(((H2/B3))^(1/35))-1</f>
        <v>0.14555955172576218</v>
      </c>
    </row>
    <row r="8" spans="1:8" x14ac:dyDescent="0.25">
      <c r="A8">
        <v>0</v>
      </c>
      <c r="B8">
        <f>B3</f>
        <v>112</v>
      </c>
      <c r="C8">
        <f>B8*(($B$4)*D8/12)</f>
        <v>0.60666666666666669</v>
      </c>
      <c r="D8" s="6">
        <v>1</v>
      </c>
      <c r="E8" s="6"/>
      <c r="H8" t="s">
        <v>32</v>
      </c>
    </row>
    <row r="9" spans="1:8" x14ac:dyDescent="0.25">
      <c r="A9">
        <f>(1/12)</f>
        <v>8.3333333333333329E-2</v>
      </c>
      <c r="B9">
        <f>B8+C8</f>
        <v>112.60666666666667</v>
      </c>
      <c r="C9">
        <f t="shared" ref="C9:C72" si="0">B9*(($B$4)*D9/12)</f>
        <v>0.60995277777777779</v>
      </c>
      <c r="D9">
        <v>1</v>
      </c>
    </row>
    <row r="10" spans="1:8" x14ac:dyDescent="0.25">
      <c r="A10">
        <f>A9+(1/12)</f>
        <v>0.16666666666666666</v>
      </c>
      <c r="B10">
        <f>B9+C9</f>
        <v>113.21661944444445</v>
      </c>
      <c r="C10">
        <f t="shared" si="0"/>
        <v>0.61325668865740746</v>
      </c>
      <c r="D10">
        <v>1</v>
      </c>
    </row>
    <row r="11" spans="1:8" x14ac:dyDescent="0.25">
      <c r="A11">
        <f t="shared" ref="A11:A74" si="1">A10+(1/12)</f>
        <v>0.25</v>
      </c>
      <c r="B11">
        <f>B10+C10</f>
        <v>113.82987613310185</v>
      </c>
      <c r="C11">
        <f t="shared" si="0"/>
        <v>0.61657849572096834</v>
      </c>
      <c r="D11">
        <v>1</v>
      </c>
    </row>
    <row r="12" spans="1:8" x14ac:dyDescent="0.25">
      <c r="A12">
        <f t="shared" si="1"/>
        <v>0.33333333333333331</v>
      </c>
      <c r="B12">
        <f>B11+C11</f>
        <v>114.44645462882282</v>
      </c>
      <c r="C12">
        <f t="shared" si="0"/>
        <v>0.61991829590612368</v>
      </c>
      <c r="D12">
        <v>1</v>
      </c>
    </row>
    <row r="13" spans="1:8" x14ac:dyDescent="0.25">
      <c r="A13">
        <f t="shared" si="1"/>
        <v>0.41666666666666663</v>
      </c>
      <c r="B13">
        <f t="shared" ref="B13:B73" si="2">B12+C12</f>
        <v>115.06637292472894</v>
      </c>
      <c r="C13">
        <f t="shared" si="0"/>
        <v>0.62327618667561513</v>
      </c>
      <c r="D13">
        <v>1</v>
      </c>
    </row>
    <row r="14" spans="1:8" x14ac:dyDescent="0.25">
      <c r="A14">
        <f t="shared" si="1"/>
        <v>0.49999999999999994</v>
      </c>
      <c r="B14">
        <f t="shared" si="2"/>
        <v>115.68964911140455</v>
      </c>
      <c r="C14">
        <f t="shared" si="0"/>
        <v>0.62665226602010804</v>
      </c>
      <c r="D14">
        <v>1</v>
      </c>
    </row>
    <row r="15" spans="1:8" x14ac:dyDescent="0.25">
      <c r="A15">
        <f t="shared" si="1"/>
        <v>0.58333333333333326</v>
      </c>
      <c r="B15">
        <f t="shared" si="2"/>
        <v>116.31630137742465</v>
      </c>
      <c r="C15">
        <f t="shared" si="0"/>
        <v>0.63004663246105019</v>
      </c>
      <c r="D15">
        <v>1</v>
      </c>
      <c r="E15" s="6"/>
    </row>
    <row r="16" spans="1:8" x14ac:dyDescent="0.25">
      <c r="A16">
        <f t="shared" si="1"/>
        <v>0.66666666666666663</v>
      </c>
      <c r="B16">
        <f t="shared" si="2"/>
        <v>116.9463480098857</v>
      </c>
      <c r="C16">
        <f t="shared" si="0"/>
        <v>0.6334593850535476</v>
      </c>
      <c r="D16">
        <v>1</v>
      </c>
    </row>
    <row r="17" spans="1:4" x14ac:dyDescent="0.25">
      <c r="A17">
        <f t="shared" si="1"/>
        <v>0.75</v>
      </c>
      <c r="B17">
        <f t="shared" si="2"/>
        <v>117.57980739493924</v>
      </c>
      <c r="C17">
        <f t="shared" si="0"/>
        <v>0.63689062338925417</v>
      </c>
      <c r="D17">
        <v>1</v>
      </c>
    </row>
    <row r="18" spans="1:4" x14ac:dyDescent="0.25">
      <c r="A18">
        <f t="shared" si="1"/>
        <v>0.83333333333333337</v>
      </c>
      <c r="B18">
        <f t="shared" si="2"/>
        <v>118.21669801832849</v>
      </c>
      <c r="C18">
        <f t="shared" si="0"/>
        <v>0.64034044759927933</v>
      </c>
      <c r="D18">
        <v>1</v>
      </c>
    </row>
    <row r="19" spans="1:4" x14ac:dyDescent="0.25">
      <c r="A19">
        <f t="shared" si="1"/>
        <v>0.91666666666666674</v>
      </c>
      <c r="B19">
        <f t="shared" si="2"/>
        <v>118.85703846592777</v>
      </c>
      <c r="C19">
        <f t="shared" si="0"/>
        <v>0.64380895835710883</v>
      </c>
      <c r="D19">
        <v>1</v>
      </c>
    </row>
    <row r="20" spans="1:4" x14ac:dyDescent="0.25">
      <c r="A20">
        <f t="shared" si="1"/>
        <v>1</v>
      </c>
      <c r="B20">
        <f t="shared" si="2"/>
        <v>119.50084742428488</v>
      </c>
      <c r="C20">
        <f t="shared" si="0"/>
        <v>0.67318810715680488</v>
      </c>
      <c r="D20">
        <f>D19*(1+$B$5)</f>
        <v>1.04</v>
      </c>
    </row>
    <row r="21" spans="1:4" x14ac:dyDescent="0.25">
      <c r="A21">
        <f t="shared" si="1"/>
        <v>1.0833333333333333</v>
      </c>
      <c r="B21">
        <f t="shared" si="2"/>
        <v>120.17403553144169</v>
      </c>
      <c r="C21">
        <f t="shared" si="0"/>
        <v>0.67698040016045491</v>
      </c>
      <c r="D21">
        <f>D20</f>
        <v>1.04</v>
      </c>
    </row>
    <row r="22" spans="1:4" x14ac:dyDescent="0.25">
      <c r="A22">
        <f t="shared" si="1"/>
        <v>1.1666666666666665</v>
      </c>
      <c r="B22">
        <f t="shared" si="2"/>
        <v>120.85101593160215</v>
      </c>
      <c r="C22">
        <f t="shared" si="0"/>
        <v>0.68079405641469215</v>
      </c>
      <c r="D22">
        <f t="shared" ref="D22:D31" si="3">D21</f>
        <v>1.04</v>
      </c>
    </row>
    <row r="23" spans="1:4" x14ac:dyDescent="0.25">
      <c r="A23">
        <f t="shared" si="1"/>
        <v>1.2499999999999998</v>
      </c>
      <c r="B23">
        <f t="shared" si="2"/>
        <v>121.53180998801685</v>
      </c>
      <c r="C23">
        <f t="shared" si="0"/>
        <v>0.6846291962658283</v>
      </c>
      <c r="D23">
        <f t="shared" si="3"/>
        <v>1.04</v>
      </c>
    </row>
    <row r="24" spans="1:4" x14ac:dyDescent="0.25">
      <c r="A24">
        <f t="shared" si="1"/>
        <v>1.333333333333333</v>
      </c>
      <c r="B24">
        <f t="shared" si="2"/>
        <v>122.21643918428268</v>
      </c>
      <c r="C24">
        <f t="shared" si="0"/>
        <v>0.68848594073812586</v>
      </c>
      <c r="D24">
        <f t="shared" si="3"/>
        <v>1.04</v>
      </c>
    </row>
    <row r="25" spans="1:4" x14ac:dyDescent="0.25">
      <c r="A25">
        <f t="shared" si="1"/>
        <v>1.4166666666666663</v>
      </c>
      <c r="B25">
        <f t="shared" si="2"/>
        <v>122.90492512502081</v>
      </c>
      <c r="C25">
        <f t="shared" si="0"/>
        <v>0.6923644115376173</v>
      </c>
      <c r="D25">
        <f t="shared" si="3"/>
        <v>1.04</v>
      </c>
    </row>
    <row r="26" spans="1:4" x14ac:dyDescent="0.25">
      <c r="A26">
        <f t="shared" si="1"/>
        <v>1.4999999999999996</v>
      </c>
      <c r="B26">
        <f t="shared" si="2"/>
        <v>123.59728953655842</v>
      </c>
      <c r="C26">
        <f t="shared" si="0"/>
        <v>0.69626473105594588</v>
      </c>
      <c r="D26">
        <f t="shared" si="3"/>
        <v>1.04</v>
      </c>
    </row>
    <row r="27" spans="1:4" x14ac:dyDescent="0.25">
      <c r="A27">
        <f t="shared" si="1"/>
        <v>1.5833333333333328</v>
      </c>
      <c r="B27">
        <f t="shared" si="2"/>
        <v>124.29355426761437</v>
      </c>
      <c r="C27">
        <f t="shared" si="0"/>
        <v>0.7001870223742277</v>
      </c>
      <c r="D27">
        <f t="shared" si="3"/>
        <v>1.04</v>
      </c>
    </row>
    <row r="28" spans="1:4" x14ac:dyDescent="0.25">
      <c r="A28">
        <f t="shared" si="1"/>
        <v>1.6666666666666661</v>
      </c>
      <c r="B28">
        <f t="shared" si="2"/>
        <v>124.99374128998859</v>
      </c>
      <c r="C28">
        <f t="shared" si="0"/>
        <v>0.70413140926693585</v>
      </c>
      <c r="D28">
        <f t="shared" si="3"/>
        <v>1.04</v>
      </c>
    </row>
    <row r="29" spans="1:4" x14ac:dyDescent="0.25">
      <c r="A29">
        <f t="shared" si="1"/>
        <v>1.7499999999999993</v>
      </c>
      <c r="B29">
        <f t="shared" si="2"/>
        <v>125.69787269925553</v>
      </c>
      <c r="C29">
        <f t="shared" si="0"/>
        <v>0.70809801620580626</v>
      </c>
      <c r="D29">
        <f t="shared" si="3"/>
        <v>1.04</v>
      </c>
    </row>
    <row r="30" spans="1:4" x14ac:dyDescent="0.25">
      <c r="A30">
        <f t="shared" si="1"/>
        <v>1.8333333333333326</v>
      </c>
      <c r="B30">
        <f t="shared" si="2"/>
        <v>126.40597071546134</v>
      </c>
      <c r="C30">
        <f t="shared" si="0"/>
        <v>0.71208696836376562</v>
      </c>
      <c r="D30">
        <f t="shared" si="3"/>
        <v>1.04</v>
      </c>
    </row>
    <row r="31" spans="1:4" x14ac:dyDescent="0.25">
      <c r="A31">
        <f t="shared" si="1"/>
        <v>1.9166666666666659</v>
      </c>
      <c r="B31">
        <f t="shared" si="2"/>
        <v>127.1180576838251</v>
      </c>
      <c r="C31">
        <f t="shared" si="0"/>
        <v>0.71609839161888145</v>
      </c>
      <c r="D31">
        <f t="shared" si="3"/>
        <v>1.04</v>
      </c>
    </row>
    <row r="32" spans="1:4" x14ac:dyDescent="0.25">
      <c r="A32">
        <f t="shared" si="1"/>
        <v>1.9999999999999991</v>
      </c>
      <c r="B32">
        <f t="shared" si="2"/>
        <v>127.83415607544399</v>
      </c>
      <c r="C32">
        <f t="shared" si="0"/>
        <v>0.74893770906066792</v>
      </c>
      <c r="D32">
        <f>D31*(1+$B$5)</f>
        <v>1.0816000000000001</v>
      </c>
    </row>
    <row r="33" spans="1:4" x14ac:dyDescent="0.25">
      <c r="A33">
        <f t="shared" si="1"/>
        <v>2.0833333333333326</v>
      </c>
      <c r="B33">
        <f t="shared" si="2"/>
        <v>128.58309378450465</v>
      </c>
      <c r="C33">
        <f t="shared" si="0"/>
        <v>0.75332548545215139</v>
      </c>
      <c r="D33">
        <f>D32</f>
        <v>1.0816000000000001</v>
      </c>
    </row>
    <row r="34" spans="1:4" x14ac:dyDescent="0.25">
      <c r="A34">
        <f t="shared" si="1"/>
        <v>2.1666666666666661</v>
      </c>
      <c r="B34">
        <f t="shared" si="2"/>
        <v>129.33641926995679</v>
      </c>
      <c r="C34">
        <f t="shared" si="0"/>
        <v>0.75773896836292032</v>
      </c>
      <c r="D34">
        <f t="shared" ref="D34:D43" si="4">D33</f>
        <v>1.0816000000000001</v>
      </c>
    </row>
    <row r="35" spans="1:4" x14ac:dyDescent="0.25">
      <c r="A35">
        <f t="shared" si="1"/>
        <v>2.2499999999999996</v>
      </c>
      <c r="B35">
        <f t="shared" si="2"/>
        <v>130.09415823831972</v>
      </c>
      <c r="C35">
        <f t="shared" si="0"/>
        <v>0.76217830839890255</v>
      </c>
      <c r="D35">
        <f t="shared" si="4"/>
        <v>1.0816000000000001</v>
      </c>
    </row>
    <row r="36" spans="1:4" x14ac:dyDescent="0.25">
      <c r="A36">
        <f t="shared" si="1"/>
        <v>2.333333333333333</v>
      </c>
      <c r="B36">
        <f t="shared" si="2"/>
        <v>130.85633654671864</v>
      </c>
      <c r="C36">
        <f t="shared" si="0"/>
        <v>0.76664365704837567</v>
      </c>
      <c r="D36">
        <f t="shared" si="4"/>
        <v>1.0816000000000001</v>
      </c>
    </row>
    <row r="37" spans="1:4" x14ac:dyDescent="0.25">
      <c r="A37">
        <f t="shared" si="1"/>
        <v>2.4166666666666665</v>
      </c>
      <c r="B37">
        <f t="shared" si="2"/>
        <v>131.62298020376701</v>
      </c>
      <c r="C37">
        <f t="shared" si="0"/>
        <v>0.77113516668713644</v>
      </c>
      <c r="D37">
        <f t="shared" si="4"/>
        <v>1.0816000000000001</v>
      </c>
    </row>
    <row r="38" spans="1:4" x14ac:dyDescent="0.25">
      <c r="A38">
        <f t="shared" si="1"/>
        <v>2.5</v>
      </c>
      <c r="B38">
        <f t="shared" si="2"/>
        <v>132.39411537045416</v>
      </c>
      <c r="C38">
        <f t="shared" si="0"/>
        <v>0.77565299058370085</v>
      </c>
      <c r="D38">
        <f t="shared" si="4"/>
        <v>1.0816000000000001</v>
      </c>
    </row>
    <row r="39" spans="1:4" x14ac:dyDescent="0.25">
      <c r="A39">
        <f t="shared" si="1"/>
        <v>2.5833333333333335</v>
      </c>
      <c r="B39">
        <f t="shared" si="2"/>
        <v>133.16976836103785</v>
      </c>
      <c r="C39">
        <f t="shared" si="0"/>
        <v>0.78019728290453383</v>
      </c>
      <c r="D39">
        <f t="shared" si="4"/>
        <v>1.0816000000000001</v>
      </c>
    </row>
    <row r="40" spans="1:4" x14ac:dyDescent="0.25">
      <c r="A40">
        <f t="shared" si="1"/>
        <v>2.666666666666667</v>
      </c>
      <c r="B40">
        <f t="shared" si="2"/>
        <v>133.94996564394239</v>
      </c>
      <c r="C40">
        <f t="shared" si="0"/>
        <v>0.78476819871931058</v>
      </c>
      <c r="D40">
        <f t="shared" si="4"/>
        <v>1.0816000000000001</v>
      </c>
    </row>
    <row r="41" spans="1:4" x14ac:dyDescent="0.25">
      <c r="A41">
        <f t="shared" si="1"/>
        <v>2.7500000000000004</v>
      </c>
      <c r="B41">
        <f t="shared" si="2"/>
        <v>134.73473384266171</v>
      </c>
      <c r="C41">
        <f t="shared" si="0"/>
        <v>0.78936589400620749</v>
      </c>
      <c r="D41">
        <f t="shared" si="4"/>
        <v>1.0816000000000001</v>
      </c>
    </row>
    <row r="42" spans="1:4" x14ac:dyDescent="0.25">
      <c r="A42">
        <f t="shared" si="1"/>
        <v>2.8333333333333339</v>
      </c>
      <c r="B42">
        <f t="shared" si="2"/>
        <v>135.52409973666792</v>
      </c>
      <c r="C42">
        <f t="shared" si="0"/>
        <v>0.79399052565722528</v>
      </c>
      <c r="D42">
        <f t="shared" si="4"/>
        <v>1.0816000000000001</v>
      </c>
    </row>
    <row r="43" spans="1:4" x14ac:dyDescent="0.25">
      <c r="A43">
        <f t="shared" si="1"/>
        <v>2.9166666666666674</v>
      </c>
      <c r="B43">
        <f t="shared" si="2"/>
        <v>136.31809026232514</v>
      </c>
      <c r="C43">
        <f t="shared" si="0"/>
        <v>0.79864225148354229</v>
      </c>
      <c r="D43">
        <f t="shared" si="4"/>
        <v>1.0816000000000001</v>
      </c>
    </row>
    <row r="44" spans="1:4" x14ac:dyDescent="0.25">
      <c r="A44">
        <f t="shared" si="1"/>
        <v>3.0000000000000009</v>
      </c>
      <c r="B44">
        <f t="shared" si="2"/>
        <v>137.11673251380867</v>
      </c>
      <c r="C44">
        <f t="shared" si="0"/>
        <v>0.8354540794297366</v>
      </c>
      <c r="D44">
        <f>D43*(1+$B$5)</f>
        <v>1.1248640000000001</v>
      </c>
    </row>
    <row r="45" spans="1:4" x14ac:dyDescent="0.25">
      <c r="A45">
        <f t="shared" si="1"/>
        <v>3.0833333333333344</v>
      </c>
      <c r="B45">
        <f t="shared" si="2"/>
        <v>137.95218659323839</v>
      </c>
      <c r="C45">
        <f t="shared" si="0"/>
        <v>0.84054451227508964</v>
      </c>
      <c r="D45">
        <f>D44</f>
        <v>1.1248640000000001</v>
      </c>
    </row>
    <row r="46" spans="1:4" x14ac:dyDescent="0.25">
      <c r="A46">
        <f t="shared" si="1"/>
        <v>3.1666666666666679</v>
      </c>
      <c r="B46">
        <f t="shared" si="2"/>
        <v>138.7927311055135</v>
      </c>
      <c r="C46">
        <f t="shared" si="0"/>
        <v>0.84566596119564197</v>
      </c>
      <c r="D46">
        <f t="shared" ref="D46:D55" si="5">D45</f>
        <v>1.1248640000000001</v>
      </c>
    </row>
    <row r="47" spans="1:4" x14ac:dyDescent="0.25">
      <c r="A47">
        <f t="shared" si="1"/>
        <v>3.2500000000000013</v>
      </c>
      <c r="B47">
        <f t="shared" si="2"/>
        <v>139.63839706670913</v>
      </c>
      <c r="C47">
        <f t="shared" si="0"/>
        <v>0.85081861517275315</v>
      </c>
      <c r="D47">
        <f t="shared" si="5"/>
        <v>1.1248640000000001</v>
      </c>
    </row>
    <row r="48" spans="1:4" x14ac:dyDescent="0.25">
      <c r="A48">
        <f t="shared" si="1"/>
        <v>3.3333333333333348</v>
      </c>
      <c r="B48">
        <f t="shared" si="2"/>
        <v>140.48921568188189</v>
      </c>
      <c r="C48">
        <f t="shared" si="0"/>
        <v>0.85600266433924888</v>
      </c>
      <c r="D48">
        <f t="shared" si="5"/>
        <v>1.1248640000000001</v>
      </c>
    </row>
    <row r="49" spans="1:4" x14ac:dyDescent="0.25">
      <c r="A49">
        <f t="shared" si="1"/>
        <v>3.4166666666666683</v>
      </c>
      <c r="B49">
        <f t="shared" si="2"/>
        <v>141.34521834622115</v>
      </c>
      <c r="C49">
        <f t="shared" si="0"/>
        <v>0.86121829998643684</v>
      </c>
      <c r="D49">
        <f t="shared" si="5"/>
        <v>1.1248640000000001</v>
      </c>
    </row>
    <row r="50" spans="1:4" x14ac:dyDescent="0.25">
      <c r="A50">
        <f t="shared" si="1"/>
        <v>3.5000000000000018</v>
      </c>
      <c r="B50">
        <f t="shared" si="2"/>
        <v>142.20643664620758</v>
      </c>
      <c r="C50">
        <f t="shared" si="0"/>
        <v>0.86646571457116484</v>
      </c>
      <c r="D50">
        <f t="shared" si="5"/>
        <v>1.1248640000000001</v>
      </c>
    </row>
    <row r="51" spans="1:4" x14ac:dyDescent="0.25">
      <c r="A51">
        <f t="shared" si="1"/>
        <v>3.5833333333333353</v>
      </c>
      <c r="B51">
        <f t="shared" si="2"/>
        <v>143.07290236077876</v>
      </c>
      <c r="C51">
        <f t="shared" si="0"/>
        <v>0.8717451017229233</v>
      </c>
      <c r="D51">
        <f t="shared" si="5"/>
        <v>1.1248640000000001</v>
      </c>
    </row>
    <row r="52" spans="1:4" x14ac:dyDescent="0.25">
      <c r="A52">
        <f t="shared" si="1"/>
        <v>3.6666666666666687</v>
      </c>
      <c r="B52">
        <f t="shared" si="2"/>
        <v>143.94464746250168</v>
      </c>
      <c r="C52">
        <f t="shared" si="0"/>
        <v>0.87705665625098905</v>
      </c>
      <c r="D52">
        <f t="shared" si="5"/>
        <v>1.1248640000000001</v>
      </c>
    </row>
    <row r="53" spans="1:4" x14ac:dyDescent="0.25">
      <c r="A53">
        <f t="shared" si="1"/>
        <v>3.7500000000000022</v>
      </c>
      <c r="B53">
        <f t="shared" si="2"/>
        <v>144.82170411875268</v>
      </c>
      <c r="C53">
        <f t="shared" si="0"/>
        <v>0.8824005741516151</v>
      </c>
      <c r="D53">
        <f t="shared" si="5"/>
        <v>1.1248640000000001</v>
      </c>
    </row>
    <row r="54" spans="1:4" x14ac:dyDescent="0.25">
      <c r="A54">
        <f t="shared" si="1"/>
        <v>3.8333333333333357</v>
      </c>
      <c r="B54">
        <f t="shared" si="2"/>
        <v>145.70410469290428</v>
      </c>
      <c r="C54">
        <f t="shared" si="0"/>
        <v>0.88777705261526185</v>
      </c>
      <c r="D54">
        <f t="shared" si="5"/>
        <v>1.1248640000000001</v>
      </c>
    </row>
    <row r="55" spans="1:4" x14ac:dyDescent="0.25">
      <c r="A55">
        <f t="shared" si="1"/>
        <v>3.9166666666666692</v>
      </c>
      <c r="B55">
        <f t="shared" si="2"/>
        <v>146.59188174551954</v>
      </c>
      <c r="C55">
        <f t="shared" si="0"/>
        <v>0.89318629003387406</v>
      </c>
      <c r="D55">
        <f t="shared" si="5"/>
        <v>1.1248640000000001</v>
      </c>
    </row>
    <row r="56" spans="1:4" x14ac:dyDescent="0.25">
      <c r="A56">
        <f t="shared" si="1"/>
        <v>4.0000000000000027</v>
      </c>
      <c r="B56">
        <f t="shared" si="2"/>
        <v>147.48506803555341</v>
      </c>
      <c r="C56">
        <f t="shared" si="0"/>
        <v>0.93457362544852907</v>
      </c>
      <c r="D56">
        <f>D55*(1+$B$5)</f>
        <v>1.1698585600000002</v>
      </c>
    </row>
    <row r="57" spans="1:4" x14ac:dyDescent="0.25">
      <c r="A57">
        <f t="shared" si="1"/>
        <v>4.0833333333333357</v>
      </c>
      <c r="B57">
        <f t="shared" si="2"/>
        <v>148.41964166100195</v>
      </c>
      <c r="C57">
        <f t="shared" si="0"/>
        <v>0.94049576979180227</v>
      </c>
      <c r="D57">
        <f>D56</f>
        <v>1.1698585600000002</v>
      </c>
    </row>
    <row r="58" spans="1:4" x14ac:dyDescent="0.25">
      <c r="A58">
        <f t="shared" si="1"/>
        <v>4.1666666666666687</v>
      </c>
      <c r="B58">
        <f t="shared" si="2"/>
        <v>149.36013743079374</v>
      </c>
      <c r="C58">
        <f t="shared" si="0"/>
        <v>0.94645544118769864</v>
      </c>
      <c r="D58">
        <f t="shared" ref="D58:D67" si="6">D57</f>
        <v>1.1698585600000002</v>
      </c>
    </row>
    <row r="59" spans="1:4" x14ac:dyDescent="0.25">
      <c r="A59">
        <f t="shared" si="1"/>
        <v>4.2500000000000018</v>
      </c>
      <c r="B59">
        <f t="shared" si="2"/>
        <v>150.30659287198145</v>
      </c>
      <c r="C59">
        <f t="shared" si="0"/>
        <v>0.95245287743516382</v>
      </c>
      <c r="D59">
        <f t="shared" si="6"/>
        <v>1.1698585600000002</v>
      </c>
    </row>
    <row r="60" spans="1:4" x14ac:dyDescent="0.25">
      <c r="A60">
        <f t="shared" si="1"/>
        <v>4.3333333333333348</v>
      </c>
      <c r="B60">
        <f t="shared" si="2"/>
        <v>151.25904574941663</v>
      </c>
      <c r="C60">
        <f t="shared" si="0"/>
        <v>0.95848831784001143</v>
      </c>
      <c r="D60">
        <f t="shared" si="6"/>
        <v>1.1698585600000002</v>
      </c>
    </row>
    <row r="61" spans="1:4" x14ac:dyDescent="0.25">
      <c r="A61">
        <f t="shared" si="1"/>
        <v>4.4166666666666679</v>
      </c>
      <c r="B61">
        <f t="shared" si="2"/>
        <v>152.21753406725665</v>
      </c>
      <c r="C61">
        <f t="shared" si="0"/>
        <v>0.96456200322447261</v>
      </c>
      <c r="D61">
        <f t="shared" si="6"/>
        <v>1.1698585600000002</v>
      </c>
    </row>
    <row r="62" spans="1:4" x14ac:dyDescent="0.25">
      <c r="A62">
        <f t="shared" si="1"/>
        <v>4.5000000000000009</v>
      </c>
      <c r="B62">
        <f t="shared" si="2"/>
        <v>153.18209607048112</v>
      </c>
      <c r="C62">
        <f t="shared" si="0"/>
        <v>0.97067417593680494</v>
      </c>
      <c r="D62">
        <f t="shared" si="6"/>
        <v>1.1698585600000002</v>
      </c>
    </row>
    <row r="63" spans="1:4" x14ac:dyDescent="0.25">
      <c r="A63">
        <f t="shared" si="1"/>
        <v>4.5833333333333339</v>
      </c>
      <c r="B63">
        <f t="shared" si="2"/>
        <v>154.15277024641793</v>
      </c>
      <c r="C63">
        <f t="shared" si="0"/>
        <v>0.97682507986096245</v>
      </c>
      <c r="D63">
        <f t="shared" si="6"/>
        <v>1.1698585600000002</v>
      </c>
    </row>
    <row r="64" spans="1:4" x14ac:dyDescent="0.25">
      <c r="A64">
        <f t="shared" si="1"/>
        <v>4.666666666666667</v>
      </c>
      <c r="B64">
        <f t="shared" si="2"/>
        <v>155.12959532627889</v>
      </c>
      <c r="C64">
        <f t="shared" si="0"/>
        <v>0.98301496042632686</v>
      </c>
      <c r="D64">
        <f t="shared" si="6"/>
        <v>1.1698585600000002</v>
      </c>
    </row>
    <row r="65" spans="1:4" x14ac:dyDescent="0.25">
      <c r="A65">
        <f t="shared" si="1"/>
        <v>4.75</v>
      </c>
      <c r="B65">
        <f t="shared" si="2"/>
        <v>156.11261028670521</v>
      </c>
      <c r="C65">
        <f t="shared" si="0"/>
        <v>0.98924406461750025</v>
      </c>
      <c r="D65">
        <f t="shared" si="6"/>
        <v>1.1698585600000002</v>
      </c>
    </row>
    <row r="66" spans="1:4" x14ac:dyDescent="0.25">
      <c r="A66">
        <f t="shared" si="1"/>
        <v>4.833333333333333</v>
      </c>
      <c r="B66">
        <f t="shared" si="2"/>
        <v>157.10185435132271</v>
      </c>
      <c r="C66">
        <f t="shared" si="0"/>
        <v>0.99551264098416103</v>
      </c>
      <c r="D66">
        <f t="shared" si="6"/>
        <v>1.1698585600000002</v>
      </c>
    </row>
    <row r="67" spans="1:4" x14ac:dyDescent="0.25">
      <c r="A67">
        <f t="shared" si="1"/>
        <v>4.9166666666666661</v>
      </c>
      <c r="B67">
        <f t="shared" si="2"/>
        <v>158.09736699230689</v>
      </c>
      <c r="C67">
        <f t="shared" si="0"/>
        <v>1.0018209396509803</v>
      </c>
      <c r="D67">
        <f t="shared" si="6"/>
        <v>1.1698585600000002</v>
      </c>
    </row>
    <row r="68" spans="1:4" x14ac:dyDescent="0.25">
      <c r="A68">
        <f t="shared" si="1"/>
        <v>4.9999999999999991</v>
      </c>
      <c r="B68">
        <f t="shared" si="2"/>
        <v>159.09918793195786</v>
      </c>
      <c r="C68">
        <f t="shared" si="0"/>
        <v>1.0484959808207064</v>
      </c>
      <c r="D68">
        <f>D67*(1+$B$5)</f>
        <v>1.2166529024000003</v>
      </c>
    </row>
    <row r="69" spans="1:4" x14ac:dyDescent="0.25">
      <c r="A69">
        <f t="shared" si="1"/>
        <v>5.0833333333333321</v>
      </c>
      <c r="B69">
        <f t="shared" si="2"/>
        <v>160.14768391277858</v>
      </c>
      <c r="C69">
        <f t="shared" si="0"/>
        <v>1.0554057824110661</v>
      </c>
      <c r="D69">
        <f>D68</f>
        <v>1.2166529024000003</v>
      </c>
    </row>
    <row r="70" spans="1:4" x14ac:dyDescent="0.25">
      <c r="A70">
        <f t="shared" si="1"/>
        <v>5.1666666666666652</v>
      </c>
      <c r="B70">
        <f t="shared" si="2"/>
        <v>161.20308969518965</v>
      </c>
      <c r="C70">
        <f t="shared" si="0"/>
        <v>1.0623611209981254</v>
      </c>
      <c r="D70">
        <f t="shared" ref="D70:D79" si="7">D69</f>
        <v>1.2166529024000003</v>
      </c>
    </row>
    <row r="71" spans="1:4" x14ac:dyDescent="0.25">
      <c r="A71">
        <f t="shared" si="1"/>
        <v>5.2499999999999982</v>
      </c>
      <c r="B71">
        <f t="shared" si="2"/>
        <v>162.26545081618778</v>
      </c>
      <c r="C71">
        <f t="shared" si="0"/>
        <v>1.0693622966799465</v>
      </c>
      <c r="D71">
        <f t="shared" si="7"/>
        <v>1.2166529024000003</v>
      </c>
    </row>
    <row r="72" spans="1:4" x14ac:dyDescent="0.25">
      <c r="A72">
        <f t="shared" si="1"/>
        <v>5.3333333333333313</v>
      </c>
      <c r="B72">
        <f t="shared" si="2"/>
        <v>163.33481311286772</v>
      </c>
      <c r="C72">
        <f t="shared" si="0"/>
        <v>1.0764096115322992</v>
      </c>
      <c r="D72">
        <f t="shared" si="7"/>
        <v>1.2166529024000003</v>
      </c>
    </row>
    <row r="73" spans="1:4" x14ac:dyDescent="0.25">
      <c r="A73">
        <f t="shared" si="1"/>
        <v>5.4166666666666643</v>
      </c>
      <c r="B73">
        <f t="shared" si="2"/>
        <v>164.41122272440003</v>
      </c>
      <c r="C73">
        <f t="shared" ref="C73:C136" si="8">B73*(($B$4)*D73/12)</f>
        <v>1.0835033696216936</v>
      </c>
      <c r="D73">
        <f t="shared" si="7"/>
        <v>1.2166529024000003</v>
      </c>
    </row>
    <row r="74" spans="1:4" x14ac:dyDescent="0.25">
      <c r="A74">
        <f t="shared" si="1"/>
        <v>5.4999999999999973</v>
      </c>
      <c r="B74">
        <f t="shared" ref="B74:B137" si="9">B73+C73</f>
        <v>165.49472609402173</v>
      </c>
      <c r="C74">
        <f t="shared" si="8"/>
        <v>1.0906438770185001</v>
      </c>
      <c r="D74">
        <f t="shared" si="7"/>
        <v>1.2166529024000003</v>
      </c>
    </row>
    <row r="75" spans="1:4" x14ac:dyDescent="0.25">
      <c r="A75">
        <f t="shared" ref="A75:A138" si="10">A74+(1/12)</f>
        <v>5.5833333333333304</v>
      </c>
      <c r="B75">
        <f t="shared" si="9"/>
        <v>166.58536997104022</v>
      </c>
      <c r="C75">
        <f t="shared" si="8"/>
        <v>1.0978314418101547</v>
      </c>
      <c r="D75">
        <f t="shared" si="7"/>
        <v>1.2166529024000003</v>
      </c>
    </row>
    <row r="76" spans="1:4" x14ac:dyDescent="0.25">
      <c r="A76">
        <f t="shared" si="10"/>
        <v>5.6666666666666634</v>
      </c>
      <c r="B76">
        <f t="shared" si="9"/>
        <v>167.68320141285037</v>
      </c>
      <c r="C76">
        <f t="shared" si="8"/>
        <v>1.1050663741144531</v>
      </c>
      <c r="D76">
        <f t="shared" si="7"/>
        <v>1.2166529024000003</v>
      </c>
    </row>
    <row r="77" spans="1:4" x14ac:dyDescent="0.25">
      <c r="A77">
        <f t="shared" si="10"/>
        <v>5.7499999999999964</v>
      </c>
      <c r="B77">
        <f t="shared" si="9"/>
        <v>168.78826778696481</v>
      </c>
      <c r="C77">
        <f t="shared" si="8"/>
        <v>1.1123489860929292</v>
      </c>
      <c r="D77">
        <f t="shared" si="7"/>
        <v>1.2166529024000003</v>
      </c>
    </row>
    <row r="78" spans="1:4" x14ac:dyDescent="0.25">
      <c r="A78">
        <f t="shared" si="10"/>
        <v>5.8333333333333295</v>
      </c>
      <c r="B78">
        <f t="shared" si="9"/>
        <v>169.90061677305775</v>
      </c>
      <c r="C78">
        <f t="shared" si="8"/>
        <v>1.1196795919643256</v>
      </c>
      <c r="D78">
        <f t="shared" si="7"/>
        <v>1.2166529024000003</v>
      </c>
    </row>
    <row r="79" spans="1:4" x14ac:dyDescent="0.25">
      <c r="A79">
        <f t="shared" si="10"/>
        <v>5.9166666666666625</v>
      </c>
      <c r="B79">
        <f t="shared" si="9"/>
        <v>171.02029636502206</v>
      </c>
      <c r="C79">
        <f t="shared" si="8"/>
        <v>1.1270585080181501</v>
      </c>
      <c r="D79">
        <f t="shared" si="7"/>
        <v>1.2166529024000003</v>
      </c>
    </row>
    <row r="80" spans="1:4" x14ac:dyDescent="0.25">
      <c r="A80">
        <f t="shared" si="10"/>
        <v>5.9999999999999956</v>
      </c>
      <c r="B80">
        <f t="shared" si="9"/>
        <v>172.1473548730402</v>
      </c>
      <c r="C80">
        <f t="shared" si="8"/>
        <v>1.1798654947334553</v>
      </c>
      <c r="D80">
        <f>D79*(1+$B$5)</f>
        <v>1.2653190184960004</v>
      </c>
    </row>
    <row r="81" spans="1:4" x14ac:dyDescent="0.25">
      <c r="A81">
        <f t="shared" si="10"/>
        <v>6.0833333333333286</v>
      </c>
      <c r="B81">
        <f t="shared" si="9"/>
        <v>173.32722036777366</v>
      </c>
      <c r="C81">
        <f t="shared" si="8"/>
        <v>1.1879520702529531</v>
      </c>
      <c r="D81">
        <f>D80</f>
        <v>1.2653190184960004</v>
      </c>
    </row>
    <row r="82" spans="1:4" x14ac:dyDescent="0.25">
      <c r="A82">
        <f t="shared" si="10"/>
        <v>6.1666666666666616</v>
      </c>
      <c r="B82">
        <f t="shared" si="9"/>
        <v>174.51517243802661</v>
      </c>
      <c r="C82">
        <f t="shared" si="8"/>
        <v>1.1960940696355307</v>
      </c>
      <c r="D82">
        <f t="shared" ref="D82:D91" si="11">D81</f>
        <v>1.2653190184960004</v>
      </c>
    </row>
    <row r="83" spans="1:4" x14ac:dyDescent="0.25">
      <c r="A83">
        <f t="shared" si="10"/>
        <v>6.2499999999999947</v>
      </c>
      <c r="B83">
        <f t="shared" si="9"/>
        <v>175.71126650766215</v>
      </c>
      <c r="C83">
        <f t="shared" si="8"/>
        <v>1.2042918727458896</v>
      </c>
      <c r="D83">
        <f t="shared" si="11"/>
        <v>1.2653190184960004</v>
      </c>
    </row>
    <row r="84" spans="1:4" x14ac:dyDescent="0.25">
      <c r="A84">
        <f t="shared" si="10"/>
        <v>6.3333333333333277</v>
      </c>
      <c r="B84">
        <f t="shared" si="9"/>
        <v>176.91555838040804</v>
      </c>
      <c r="C84">
        <f t="shared" si="8"/>
        <v>1.2125458620522529</v>
      </c>
      <c r="D84">
        <f t="shared" si="11"/>
        <v>1.2653190184960004</v>
      </c>
    </row>
    <row r="85" spans="1:4" x14ac:dyDescent="0.25">
      <c r="A85">
        <f t="shared" si="10"/>
        <v>6.4166666666666607</v>
      </c>
      <c r="B85">
        <f t="shared" si="9"/>
        <v>178.1281042424603</v>
      </c>
      <c r="C85">
        <f t="shared" si="8"/>
        <v>1.2208564226442085</v>
      </c>
      <c r="D85">
        <f t="shared" si="11"/>
        <v>1.2653190184960004</v>
      </c>
    </row>
    <row r="86" spans="1:4" x14ac:dyDescent="0.25">
      <c r="A86">
        <f t="shared" si="10"/>
        <v>6.4999999999999938</v>
      </c>
      <c r="B86">
        <f t="shared" si="9"/>
        <v>179.3489606651045</v>
      </c>
      <c r="C86">
        <f t="shared" si="8"/>
        <v>1.2292239422506757</v>
      </c>
      <c r="D86">
        <f t="shared" si="11"/>
        <v>1.2653190184960004</v>
      </c>
    </row>
    <row r="87" spans="1:4" x14ac:dyDescent="0.25">
      <c r="A87">
        <f t="shared" si="10"/>
        <v>6.5833333333333268</v>
      </c>
      <c r="B87">
        <f t="shared" si="9"/>
        <v>180.57818460735518</v>
      </c>
      <c r="C87">
        <f t="shared" si="8"/>
        <v>1.2376488112579946</v>
      </c>
      <c r="D87">
        <f t="shared" si="11"/>
        <v>1.2653190184960004</v>
      </c>
    </row>
    <row r="88" spans="1:4" x14ac:dyDescent="0.25">
      <c r="A88">
        <f t="shared" si="10"/>
        <v>6.6666666666666599</v>
      </c>
      <c r="B88">
        <f t="shared" si="9"/>
        <v>181.81583341861318</v>
      </c>
      <c r="C88">
        <f t="shared" si="8"/>
        <v>1.2461314227281397</v>
      </c>
      <c r="D88">
        <f t="shared" si="11"/>
        <v>1.2653190184960004</v>
      </c>
    </row>
    <row r="89" spans="1:4" x14ac:dyDescent="0.25">
      <c r="A89">
        <f t="shared" si="10"/>
        <v>6.7499999999999929</v>
      </c>
      <c r="B89">
        <f t="shared" si="9"/>
        <v>183.06196484134131</v>
      </c>
      <c r="C89">
        <f t="shared" si="8"/>
        <v>1.254672172417058</v>
      </c>
      <c r="D89">
        <f t="shared" si="11"/>
        <v>1.2653190184960004</v>
      </c>
    </row>
    <row r="90" spans="1:4" x14ac:dyDescent="0.25">
      <c r="A90">
        <f t="shared" si="10"/>
        <v>6.8333333333333259</v>
      </c>
      <c r="B90">
        <f t="shared" si="9"/>
        <v>184.31663701375837</v>
      </c>
      <c r="C90">
        <f t="shared" si="8"/>
        <v>1.2632714587931335</v>
      </c>
      <c r="D90">
        <f t="shared" si="11"/>
        <v>1.2653190184960004</v>
      </c>
    </row>
    <row r="91" spans="1:4" x14ac:dyDescent="0.25">
      <c r="A91">
        <f t="shared" si="10"/>
        <v>6.916666666666659</v>
      </c>
      <c r="B91">
        <f t="shared" si="9"/>
        <v>185.57990847255149</v>
      </c>
      <c r="C91">
        <f t="shared" si="8"/>
        <v>1.2719296830557767</v>
      </c>
      <c r="D91">
        <f t="shared" si="11"/>
        <v>1.2653190184960004</v>
      </c>
    </row>
    <row r="92" spans="1:4" x14ac:dyDescent="0.25">
      <c r="A92">
        <f t="shared" si="10"/>
        <v>6.999999999999992</v>
      </c>
      <c r="B92">
        <f t="shared" si="9"/>
        <v>186.85183815560728</v>
      </c>
      <c r="C92">
        <f t="shared" si="8"/>
        <v>1.3318731391203096</v>
      </c>
      <c r="D92">
        <f>D91*(1+$B$5)</f>
        <v>1.3159317792358405</v>
      </c>
    </row>
    <row r="93" spans="1:4" x14ac:dyDescent="0.25">
      <c r="A93">
        <f t="shared" si="10"/>
        <v>7.083333333333325</v>
      </c>
      <c r="B93">
        <f t="shared" si="9"/>
        <v>188.1837112947276</v>
      </c>
      <c r="C93">
        <f t="shared" si="8"/>
        <v>1.3413666826477375</v>
      </c>
      <c r="D93">
        <f>D92</f>
        <v>1.3159317792358405</v>
      </c>
    </row>
    <row r="94" spans="1:4" x14ac:dyDescent="0.25">
      <c r="A94">
        <f t="shared" si="10"/>
        <v>7.1666666666666581</v>
      </c>
      <c r="B94">
        <f t="shared" si="9"/>
        <v>189.52507797737533</v>
      </c>
      <c r="C94">
        <f t="shared" si="8"/>
        <v>1.3509278958098025</v>
      </c>
      <c r="D94">
        <f t="shared" ref="D94:D103" si="12">D93</f>
        <v>1.3159317792358405</v>
      </c>
    </row>
    <row r="95" spans="1:4" x14ac:dyDescent="0.25">
      <c r="A95">
        <f t="shared" si="10"/>
        <v>7.2499999999999911</v>
      </c>
      <c r="B95">
        <f t="shared" si="9"/>
        <v>190.87600587318514</v>
      </c>
      <c r="C95">
        <f t="shared" si="8"/>
        <v>1.3605572609532111</v>
      </c>
      <c r="D95">
        <f t="shared" si="12"/>
        <v>1.3159317792358405</v>
      </c>
    </row>
    <row r="96" spans="1:4" x14ac:dyDescent="0.25">
      <c r="A96">
        <f t="shared" si="10"/>
        <v>7.3333333333333242</v>
      </c>
      <c r="B96">
        <f t="shared" si="9"/>
        <v>192.23656313413835</v>
      </c>
      <c r="C96">
        <f t="shared" si="8"/>
        <v>1.3702552638628189</v>
      </c>
      <c r="D96">
        <f t="shared" si="12"/>
        <v>1.3159317792358405</v>
      </c>
    </row>
    <row r="97" spans="1:4" x14ac:dyDescent="0.25">
      <c r="A97">
        <f t="shared" si="10"/>
        <v>7.4166666666666572</v>
      </c>
      <c r="B97">
        <f t="shared" si="9"/>
        <v>193.60681839800117</v>
      </c>
      <c r="C97">
        <f t="shared" si="8"/>
        <v>1.3800223937861396</v>
      </c>
      <c r="D97">
        <f t="shared" si="12"/>
        <v>1.3159317792358405</v>
      </c>
    </row>
    <row r="98" spans="1:4" x14ac:dyDescent="0.25">
      <c r="A98">
        <f t="shared" si="10"/>
        <v>7.4999999999999902</v>
      </c>
      <c r="B98">
        <f t="shared" si="9"/>
        <v>194.9868407917873</v>
      </c>
      <c r="C98">
        <f t="shared" si="8"/>
        <v>1.3898591434580245</v>
      </c>
      <c r="D98">
        <f t="shared" si="12"/>
        <v>1.3159317792358405</v>
      </c>
    </row>
    <row r="99" spans="1:4" x14ac:dyDescent="0.25">
      <c r="A99">
        <f t="shared" si="10"/>
        <v>7.5833333333333233</v>
      </c>
      <c r="B99">
        <f t="shared" si="9"/>
        <v>196.37669993524531</v>
      </c>
      <c r="C99">
        <f t="shared" si="8"/>
        <v>1.3997660091255215</v>
      </c>
      <c r="D99">
        <f t="shared" si="12"/>
        <v>1.3159317792358405</v>
      </c>
    </row>
    <row r="100" spans="1:4" x14ac:dyDescent="0.25">
      <c r="A100">
        <f t="shared" si="10"/>
        <v>7.6666666666666563</v>
      </c>
      <c r="B100">
        <f t="shared" si="9"/>
        <v>197.77646594437084</v>
      </c>
      <c r="C100">
        <f t="shared" si="8"/>
        <v>1.4097434905729096</v>
      </c>
      <c r="D100">
        <f t="shared" si="12"/>
        <v>1.3159317792358405</v>
      </c>
    </row>
    <row r="101" spans="1:4" x14ac:dyDescent="0.25">
      <c r="A101">
        <f t="shared" si="10"/>
        <v>7.7499999999999893</v>
      </c>
      <c r="B101">
        <f t="shared" si="9"/>
        <v>199.18620943494375</v>
      </c>
      <c r="C101">
        <f t="shared" si="8"/>
        <v>1.4197920911469115</v>
      </c>
      <c r="D101">
        <f t="shared" si="12"/>
        <v>1.3159317792358405</v>
      </c>
    </row>
    <row r="102" spans="1:4" x14ac:dyDescent="0.25">
      <c r="A102">
        <f t="shared" si="10"/>
        <v>7.8333333333333224</v>
      </c>
      <c r="B102">
        <f t="shared" si="9"/>
        <v>200.60600152609067</v>
      </c>
      <c r="C102">
        <f t="shared" si="8"/>
        <v>1.4299123177820878</v>
      </c>
      <c r="D102">
        <f t="shared" si="12"/>
        <v>1.3159317792358405</v>
      </c>
    </row>
    <row r="103" spans="1:4" x14ac:dyDescent="0.25">
      <c r="A103">
        <f t="shared" si="10"/>
        <v>7.9166666666666554</v>
      </c>
      <c r="B103">
        <f t="shared" si="9"/>
        <v>202.03591384387275</v>
      </c>
      <c r="C103">
        <f t="shared" si="8"/>
        <v>1.44010468102641</v>
      </c>
      <c r="D103">
        <f t="shared" si="12"/>
        <v>1.3159317792358405</v>
      </c>
    </row>
    <row r="104" spans="1:4" x14ac:dyDescent="0.25">
      <c r="A104">
        <f t="shared" si="10"/>
        <v>7.9999999999999885</v>
      </c>
      <c r="B104">
        <f t="shared" si="9"/>
        <v>203.47601852489916</v>
      </c>
      <c r="C104">
        <f t="shared" si="8"/>
        <v>1.5083844828696975</v>
      </c>
      <c r="D104">
        <f>D103*(1+$B$5)</f>
        <v>1.3685690504052741</v>
      </c>
    </row>
    <row r="105" spans="1:4" x14ac:dyDescent="0.25">
      <c r="A105">
        <f t="shared" si="10"/>
        <v>8.0833333333333215</v>
      </c>
      <c r="B105">
        <f t="shared" si="9"/>
        <v>204.98440300776886</v>
      </c>
      <c r="C105">
        <f t="shared" si="8"/>
        <v>1.519566261266269</v>
      </c>
      <c r="D105">
        <f>D104</f>
        <v>1.3685690504052741</v>
      </c>
    </row>
    <row r="106" spans="1:4" x14ac:dyDescent="0.25">
      <c r="A106">
        <f t="shared" si="10"/>
        <v>8.1666666666666554</v>
      </c>
      <c r="B106">
        <f t="shared" si="9"/>
        <v>206.50396926903514</v>
      </c>
      <c r="C106">
        <f t="shared" si="8"/>
        <v>1.5308309311069848</v>
      </c>
      <c r="D106">
        <f t="shared" ref="D106:D115" si="13">D105</f>
        <v>1.3685690504052741</v>
      </c>
    </row>
    <row r="107" spans="1:4" x14ac:dyDescent="0.25">
      <c r="A107">
        <f t="shared" si="10"/>
        <v>8.2499999999999893</v>
      </c>
      <c r="B107">
        <f t="shared" si="9"/>
        <v>208.03480020014212</v>
      </c>
      <c r="C107">
        <f t="shared" si="8"/>
        <v>1.5421791068729471</v>
      </c>
      <c r="D107">
        <f t="shared" si="13"/>
        <v>1.3685690504052741</v>
      </c>
    </row>
    <row r="108" spans="1:4" x14ac:dyDescent="0.25">
      <c r="A108">
        <f t="shared" si="10"/>
        <v>8.3333333333333233</v>
      </c>
      <c r="B108">
        <f t="shared" si="9"/>
        <v>209.57697930701505</v>
      </c>
      <c r="C108">
        <f t="shared" si="8"/>
        <v>1.5536114076004568</v>
      </c>
      <c r="D108">
        <f t="shared" si="13"/>
        <v>1.3685690504052741</v>
      </c>
    </row>
    <row r="109" spans="1:4" x14ac:dyDescent="0.25">
      <c r="A109">
        <f t="shared" si="10"/>
        <v>8.4166666666666572</v>
      </c>
      <c r="B109">
        <f t="shared" si="9"/>
        <v>211.13059071461552</v>
      </c>
      <c r="C109">
        <f t="shared" si="8"/>
        <v>1.5651284569147823</v>
      </c>
      <c r="D109">
        <f t="shared" si="13"/>
        <v>1.3685690504052741</v>
      </c>
    </row>
    <row r="110" spans="1:4" x14ac:dyDescent="0.25">
      <c r="A110">
        <f t="shared" si="10"/>
        <v>8.4999999999999911</v>
      </c>
      <c r="B110">
        <f t="shared" si="9"/>
        <v>212.6957191715303</v>
      </c>
      <c r="C110">
        <f t="shared" si="8"/>
        <v>1.5767308830641773</v>
      </c>
      <c r="D110">
        <f t="shared" si="13"/>
        <v>1.3685690504052741</v>
      </c>
    </row>
    <row r="111" spans="1:4" x14ac:dyDescent="0.25">
      <c r="A111">
        <f t="shared" si="10"/>
        <v>8.583333333333325</v>
      </c>
      <c r="B111">
        <f t="shared" si="9"/>
        <v>214.27245005459449</v>
      </c>
      <c r="C111">
        <f t="shared" si="8"/>
        <v>1.5884193189541513</v>
      </c>
      <c r="D111">
        <f t="shared" si="13"/>
        <v>1.3685690504052741</v>
      </c>
    </row>
    <row r="112" spans="1:4" x14ac:dyDescent="0.25">
      <c r="A112">
        <f t="shared" si="10"/>
        <v>8.666666666666659</v>
      </c>
      <c r="B112">
        <f t="shared" si="9"/>
        <v>215.86086937354864</v>
      </c>
      <c r="C112">
        <f t="shared" si="8"/>
        <v>1.6001944021819947</v>
      </c>
      <c r="D112">
        <f t="shared" si="13"/>
        <v>1.3685690504052741</v>
      </c>
    </row>
    <row r="113" spans="1:4" x14ac:dyDescent="0.25">
      <c r="A113">
        <f t="shared" si="10"/>
        <v>8.7499999999999929</v>
      </c>
      <c r="B113">
        <f t="shared" si="9"/>
        <v>217.46106377573062</v>
      </c>
      <c r="C113">
        <f t="shared" si="8"/>
        <v>1.6120567750715591</v>
      </c>
      <c r="D113">
        <f t="shared" si="13"/>
        <v>1.3685690504052741</v>
      </c>
    </row>
    <row r="114" spans="1:4" x14ac:dyDescent="0.25">
      <c r="A114">
        <f t="shared" si="10"/>
        <v>8.8333333333333268</v>
      </c>
      <c r="B114">
        <f t="shared" si="9"/>
        <v>219.07312055080217</v>
      </c>
      <c r="C114">
        <f t="shared" si="8"/>
        <v>1.6240070847082957</v>
      </c>
      <c r="D114">
        <f t="shared" si="13"/>
        <v>1.3685690504052741</v>
      </c>
    </row>
    <row r="115" spans="1:4" x14ac:dyDescent="0.25">
      <c r="A115">
        <f t="shared" si="10"/>
        <v>8.9166666666666607</v>
      </c>
      <c r="B115">
        <f t="shared" si="9"/>
        <v>220.69712763551047</v>
      </c>
      <c r="C115">
        <f t="shared" si="8"/>
        <v>1.6360459829745535</v>
      </c>
      <c r="D115">
        <f t="shared" si="13"/>
        <v>1.3685690504052741</v>
      </c>
    </row>
    <row r="116" spans="1:4" x14ac:dyDescent="0.25">
      <c r="A116">
        <f t="shared" si="10"/>
        <v>8.9999999999999947</v>
      </c>
      <c r="B116">
        <f t="shared" si="9"/>
        <v>222.33317361848503</v>
      </c>
      <c r="C116">
        <f t="shared" si="8"/>
        <v>1.7141010916485444</v>
      </c>
      <c r="D116">
        <f>D115*(1+$B$5)</f>
        <v>1.4233118124214852</v>
      </c>
    </row>
    <row r="117" spans="1:4" x14ac:dyDescent="0.25">
      <c r="A117">
        <f t="shared" si="10"/>
        <v>9.0833333333333286</v>
      </c>
      <c r="B117">
        <f t="shared" si="9"/>
        <v>224.04727471013359</v>
      </c>
      <c r="C117">
        <f t="shared" si="8"/>
        <v>1.7273161351104458</v>
      </c>
      <c r="D117">
        <f>D116</f>
        <v>1.4233118124214852</v>
      </c>
    </row>
    <row r="118" spans="1:4" x14ac:dyDescent="0.25">
      <c r="A118">
        <f t="shared" si="10"/>
        <v>9.1666666666666625</v>
      </c>
      <c r="B118">
        <f t="shared" si="9"/>
        <v>225.77459084524403</v>
      </c>
      <c r="C118">
        <f t="shared" si="8"/>
        <v>1.7406330613460943</v>
      </c>
      <c r="D118">
        <f t="shared" ref="D118:D127" si="14">D117</f>
        <v>1.4233118124214852</v>
      </c>
    </row>
    <row r="119" spans="1:4" x14ac:dyDescent="0.25">
      <c r="A119">
        <f t="shared" si="10"/>
        <v>9.2499999999999964</v>
      </c>
      <c r="B119">
        <f t="shared" si="9"/>
        <v>227.51522390659014</v>
      </c>
      <c r="C119">
        <f t="shared" si="8"/>
        <v>1.7540526558314977</v>
      </c>
      <c r="D119">
        <f t="shared" si="14"/>
        <v>1.4233118124214852</v>
      </c>
    </row>
    <row r="120" spans="1:4" x14ac:dyDescent="0.25">
      <c r="A120">
        <f t="shared" si="10"/>
        <v>9.3333333333333304</v>
      </c>
      <c r="B120">
        <f t="shared" si="9"/>
        <v>229.26927656242162</v>
      </c>
      <c r="C120">
        <f t="shared" si="8"/>
        <v>1.7675757100983749</v>
      </c>
      <c r="D120">
        <f t="shared" si="14"/>
        <v>1.4233118124214852</v>
      </c>
    </row>
    <row r="121" spans="1:4" x14ac:dyDescent="0.25">
      <c r="A121">
        <f t="shared" si="10"/>
        <v>9.4166666666666643</v>
      </c>
      <c r="B121">
        <f t="shared" si="9"/>
        <v>231.03685227252001</v>
      </c>
      <c r="C121">
        <f t="shared" si="8"/>
        <v>1.7812030217808417</v>
      </c>
      <c r="D121">
        <f t="shared" si="14"/>
        <v>1.4233118124214852</v>
      </c>
    </row>
    <row r="122" spans="1:4" x14ac:dyDescent="0.25">
      <c r="A122">
        <f t="shared" si="10"/>
        <v>9.4999999999999982</v>
      </c>
      <c r="B122">
        <f t="shared" si="9"/>
        <v>232.81805529430085</v>
      </c>
      <c r="C122">
        <f t="shared" si="8"/>
        <v>1.7949353946624582</v>
      </c>
      <c r="D122">
        <f t="shared" si="14"/>
        <v>1.4233118124214852</v>
      </c>
    </row>
    <row r="123" spans="1:4" x14ac:dyDescent="0.25">
      <c r="A123">
        <f t="shared" si="10"/>
        <v>9.5833333333333321</v>
      </c>
      <c r="B123">
        <f t="shared" si="9"/>
        <v>234.61299068896329</v>
      </c>
      <c r="C123">
        <f t="shared" si="8"/>
        <v>1.8087736387236391</v>
      </c>
      <c r="D123">
        <f t="shared" si="14"/>
        <v>1.4233118124214852</v>
      </c>
    </row>
    <row r="124" spans="1:4" x14ac:dyDescent="0.25">
      <c r="A124">
        <f t="shared" si="10"/>
        <v>9.6666666666666661</v>
      </c>
      <c r="B124">
        <f t="shared" si="9"/>
        <v>236.42176432768693</v>
      </c>
      <c r="C124">
        <f t="shared" si="8"/>
        <v>1.8227185701894288</v>
      </c>
      <c r="D124">
        <f t="shared" si="14"/>
        <v>1.4233118124214852</v>
      </c>
    </row>
    <row r="125" spans="1:4" x14ac:dyDescent="0.25">
      <c r="A125">
        <f t="shared" si="10"/>
        <v>9.75</v>
      </c>
      <c r="B125">
        <f t="shared" si="9"/>
        <v>238.24448289787637</v>
      </c>
      <c r="C125">
        <f t="shared" si="8"/>
        <v>1.8367710115776448</v>
      </c>
      <c r="D125">
        <f t="shared" si="14"/>
        <v>1.4233118124214852</v>
      </c>
    </row>
    <row r="126" spans="1:4" x14ac:dyDescent="0.25">
      <c r="A126">
        <f t="shared" si="10"/>
        <v>9.8333333333333339</v>
      </c>
      <c r="B126">
        <f t="shared" si="9"/>
        <v>240.08125390945401</v>
      </c>
      <c r="C126">
        <f t="shared" si="8"/>
        <v>1.850931791747392</v>
      </c>
      <c r="D126">
        <f t="shared" si="14"/>
        <v>1.4233118124214852</v>
      </c>
    </row>
    <row r="127" spans="1:4" x14ac:dyDescent="0.25">
      <c r="A127">
        <f t="shared" si="10"/>
        <v>9.9166666666666679</v>
      </c>
      <c r="B127">
        <f t="shared" si="9"/>
        <v>241.9321857012014</v>
      </c>
      <c r="C127">
        <f t="shared" si="8"/>
        <v>1.8652017459479533</v>
      </c>
      <c r="D127">
        <f t="shared" si="14"/>
        <v>1.4233118124214852</v>
      </c>
    </row>
    <row r="128" spans="1:4" x14ac:dyDescent="0.25">
      <c r="A128">
        <f t="shared" si="10"/>
        <v>10.000000000000002</v>
      </c>
      <c r="B128">
        <f t="shared" si="9"/>
        <v>243.79738744714936</v>
      </c>
      <c r="C128">
        <f t="shared" si="8"/>
        <v>1.9547649845027755</v>
      </c>
      <c r="D128">
        <f>D127*(1+$B$5)</f>
        <v>1.4802442849183446</v>
      </c>
    </row>
    <row r="129" spans="1:4" x14ac:dyDescent="0.25">
      <c r="A129">
        <f t="shared" si="10"/>
        <v>10.083333333333336</v>
      </c>
      <c r="B129">
        <f t="shared" si="9"/>
        <v>245.75215243165215</v>
      </c>
      <c r="C129">
        <f t="shared" si="8"/>
        <v>1.9704382703597312</v>
      </c>
      <c r="D129">
        <f>D128</f>
        <v>1.4802442849183446</v>
      </c>
    </row>
    <row r="130" spans="1:4" x14ac:dyDescent="0.25">
      <c r="A130">
        <f t="shared" si="10"/>
        <v>10.16666666666667</v>
      </c>
      <c r="B130">
        <f t="shared" si="9"/>
        <v>247.72259070201187</v>
      </c>
      <c r="C130">
        <f t="shared" si="8"/>
        <v>1.9862372244640214</v>
      </c>
      <c r="D130">
        <f t="shared" ref="D130:D139" si="15">D129</f>
        <v>1.4802442849183446</v>
      </c>
    </row>
    <row r="131" spans="1:4" x14ac:dyDescent="0.25">
      <c r="A131">
        <f t="shared" si="10"/>
        <v>10.250000000000004</v>
      </c>
      <c r="B131">
        <f t="shared" si="9"/>
        <v>249.70882792647589</v>
      </c>
      <c r="C131">
        <f t="shared" si="8"/>
        <v>2.0021628544223815</v>
      </c>
      <c r="D131">
        <f t="shared" si="15"/>
        <v>1.4802442849183446</v>
      </c>
    </row>
    <row r="132" spans="1:4" x14ac:dyDescent="0.25">
      <c r="A132">
        <f t="shared" si="10"/>
        <v>10.333333333333337</v>
      </c>
      <c r="B132">
        <f t="shared" si="9"/>
        <v>251.71099078089827</v>
      </c>
      <c r="C132">
        <f t="shared" si="8"/>
        <v>2.0182161759205268</v>
      </c>
      <c r="D132">
        <f t="shared" si="15"/>
        <v>1.4802442849183446</v>
      </c>
    </row>
    <row r="133" spans="1:4" x14ac:dyDescent="0.25">
      <c r="A133">
        <f t="shared" si="10"/>
        <v>10.416666666666671</v>
      </c>
      <c r="B133">
        <f t="shared" si="9"/>
        <v>253.72920695681879</v>
      </c>
      <c r="C133">
        <f t="shared" si="8"/>
        <v>2.0343982127879308</v>
      </c>
      <c r="D133">
        <f t="shared" si="15"/>
        <v>1.4802442849183446</v>
      </c>
    </row>
    <row r="134" spans="1:4" x14ac:dyDescent="0.25">
      <c r="A134">
        <f t="shared" si="10"/>
        <v>10.500000000000005</v>
      </c>
      <c r="B134">
        <f t="shared" si="9"/>
        <v>255.76360516960671</v>
      </c>
      <c r="C134">
        <f t="shared" si="8"/>
        <v>2.0507099970631208</v>
      </c>
      <c r="D134">
        <f t="shared" si="15"/>
        <v>1.4802442849183446</v>
      </c>
    </row>
    <row r="135" spans="1:4" x14ac:dyDescent="0.25">
      <c r="A135">
        <f t="shared" si="10"/>
        <v>10.583333333333339</v>
      </c>
      <c r="B135">
        <f t="shared" si="9"/>
        <v>257.81431516666981</v>
      </c>
      <c r="C135">
        <f t="shared" si="8"/>
        <v>2.0671525690594996</v>
      </c>
      <c r="D135">
        <f t="shared" si="15"/>
        <v>1.4802442849183446</v>
      </c>
    </row>
    <row r="136" spans="1:4" x14ac:dyDescent="0.25">
      <c r="A136">
        <f t="shared" si="10"/>
        <v>10.666666666666673</v>
      </c>
      <c r="B136">
        <f t="shared" si="9"/>
        <v>259.8814677357293</v>
      </c>
      <c r="C136">
        <f t="shared" si="8"/>
        <v>2.0837269774316911</v>
      </c>
      <c r="D136">
        <f t="shared" si="15"/>
        <v>1.4802442849183446</v>
      </c>
    </row>
    <row r="137" spans="1:4" x14ac:dyDescent="0.25">
      <c r="A137">
        <f t="shared" si="10"/>
        <v>10.750000000000007</v>
      </c>
      <c r="B137">
        <f t="shared" si="9"/>
        <v>261.965194713161</v>
      </c>
      <c r="C137">
        <f t="shared" ref="C137:C200" si="16">B137*(($B$4)*D137/12)</f>
        <v>2.100434279242422</v>
      </c>
      <c r="D137">
        <f t="shared" si="15"/>
        <v>1.4802442849183446</v>
      </c>
    </row>
    <row r="138" spans="1:4" x14ac:dyDescent="0.25">
      <c r="A138">
        <f t="shared" si="10"/>
        <v>10.833333333333341</v>
      </c>
      <c r="B138">
        <f t="shared" ref="B138:B201" si="17">B137+C137</f>
        <v>264.06562899240345</v>
      </c>
      <c r="C138">
        <f t="shared" si="16"/>
        <v>2.1172755400299379</v>
      </c>
      <c r="D138">
        <f t="shared" si="15"/>
        <v>1.4802442849183446</v>
      </c>
    </row>
    <row r="139" spans="1:4" x14ac:dyDescent="0.25">
      <c r="A139">
        <f t="shared" ref="A139:A202" si="18">A138+(1/12)</f>
        <v>10.916666666666675</v>
      </c>
      <c r="B139">
        <f t="shared" si="17"/>
        <v>266.18290453243338</v>
      </c>
      <c r="C139">
        <f t="shared" si="16"/>
        <v>2.1342518338759575</v>
      </c>
      <c r="D139">
        <f t="shared" si="15"/>
        <v>1.4802442849183446</v>
      </c>
    </row>
    <row r="140" spans="1:4" x14ac:dyDescent="0.25">
      <c r="A140">
        <f t="shared" si="18"/>
        <v>11.000000000000009</v>
      </c>
      <c r="B140">
        <f t="shared" si="17"/>
        <v>268.31715636630935</v>
      </c>
      <c r="C140">
        <f t="shared" si="16"/>
        <v>2.2374188132131447</v>
      </c>
      <c r="D140">
        <f>D139*(1+$B$5)</f>
        <v>1.5394540563150785</v>
      </c>
    </row>
    <row r="141" spans="1:4" x14ac:dyDescent="0.25">
      <c r="A141">
        <f t="shared" si="18"/>
        <v>11.083333333333343</v>
      </c>
      <c r="B141">
        <f t="shared" si="17"/>
        <v>270.55457517952249</v>
      </c>
      <c r="C141">
        <f t="shared" si="16"/>
        <v>2.2560759986630599</v>
      </c>
      <c r="D141">
        <f>D140</f>
        <v>1.5394540563150785</v>
      </c>
    </row>
    <row r="142" spans="1:4" x14ac:dyDescent="0.25">
      <c r="A142">
        <f t="shared" si="18"/>
        <v>11.166666666666677</v>
      </c>
      <c r="B142">
        <f t="shared" si="17"/>
        <v>272.81065117818554</v>
      </c>
      <c r="C142">
        <f t="shared" si="16"/>
        <v>2.2748887609620017</v>
      </c>
      <c r="D142">
        <f t="shared" ref="D142:D151" si="19">D141</f>
        <v>1.5394540563150785</v>
      </c>
    </row>
    <row r="143" spans="1:4" x14ac:dyDescent="0.25">
      <c r="A143">
        <f t="shared" si="18"/>
        <v>11.250000000000011</v>
      </c>
      <c r="B143">
        <f t="shared" si="17"/>
        <v>275.08553993914757</v>
      </c>
      <c r="C143">
        <f t="shared" si="16"/>
        <v>2.2938583974201148</v>
      </c>
      <c r="D143">
        <f t="shared" si="19"/>
        <v>1.5394540563150785</v>
      </c>
    </row>
    <row r="144" spans="1:4" x14ac:dyDescent="0.25">
      <c r="A144">
        <f t="shared" si="18"/>
        <v>11.333333333333345</v>
      </c>
      <c r="B144">
        <f t="shared" si="17"/>
        <v>277.3793983365677</v>
      </c>
      <c r="C144">
        <f t="shared" si="16"/>
        <v>2.3129862161654358</v>
      </c>
      <c r="D144">
        <f t="shared" si="19"/>
        <v>1.5394540563150785</v>
      </c>
    </row>
    <row r="145" spans="1:4" x14ac:dyDescent="0.25">
      <c r="A145">
        <f t="shared" si="18"/>
        <v>11.416666666666679</v>
      </c>
      <c r="B145">
        <f t="shared" si="17"/>
        <v>279.69238455273313</v>
      </c>
      <c r="C145">
        <f t="shared" si="16"/>
        <v>2.3322735362341014</v>
      </c>
      <c r="D145">
        <f t="shared" si="19"/>
        <v>1.5394540563150785</v>
      </c>
    </row>
    <row r="146" spans="1:4" x14ac:dyDescent="0.25">
      <c r="A146">
        <f t="shared" si="18"/>
        <v>11.500000000000012</v>
      </c>
      <c r="B146">
        <f t="shared" si="17"/>
        <v>282.02465808896721</v>
      </c>
      <c r="C146">
        <f t="shared" si="16"/>
        <v>2.3517216876613074</v>
      </c>
      <c r="D146">
        <f t="shared" si="19"/>
        <v>1.5394540563150785</v>
      </c>
    </row>
    <row r="147" spans="1:4" x14ac:dyDescent="0.25">
      <c r="A147">
        <f t="shared" si="18"/>
        <v>11.583333333333346</v>
      </c>
      <c r="B147">
        <f t="shared" si="17"/>
        <v>284.37637977662854</v>
      </c>
      <c r="C147">
        <f t="shared" si="16"/>
        <v>2.3713320115730272</v>
      </c>
      <c r="D147">
        <f t="shared" si="19"/>
        <v>1.5394540563150785</v>
      </c>
    </row>
    <row r="148" spans="1:4" x14ac:dyDescent="0.25">
      <c r="A148">
        <f t="shared" si="18"/>
        <v>11.66666666666668</v>
      </c>
      <c r="B148">
        <f t="shared" si="17"/>
        <v>286.74771178820157</v>
      </c>
      <c r="C148">
        <f t="shared" si="16"/>
        <v>2.3911058602784925</v>
      </c>
      <c r="D148">
        <f t="shared" si="19"/>
        <v>1.5394540563150785</v>
      </c>
    </row>
    <row r="149" spans="1:4" x14ac:dyDescent="0.25">
      <c r="A149">
        <f t="shared" si="18"/>
        <v>11.750000000000014</v>
      </c>
      <c r="B149">
        <f t="shared" si="17"/>
        <v>289.13881764848009</v>
      </c>
      <c r="C149">
        <f t="shared" si="16"/>
        <v>2.4110445973634502</v>
      </c>
      <c r="D149">
        <f t="shared" si="19"/>
        <v>1.5394540563150785</v>
      </c>
    </row>
    <row r="150" spans="1:4" x14ac:dyDescent="0.25">
      <c r="A150">
        <f t="shared" si="18"/>
        <v>11.833333333333348</v>
      </c>
      <c r="B150">
        <f t="shared" si="17"/>
        <v>291.54986224584354</v>
      </c>
      <c r="C150">
        <f t="shared" si="16"/>
        <v>2.4311495977841919</v>
      </c>
      <c r="D150">
        <f t="shared" si="19"/>
        <v>1.5394540563150785</v>
      </c>
    </row>
    <row r="151" spans="1:4" x14ac:dyDescent="0.25">
      <c r="A151">
        <f t="shared" si="18"/>
        <v>11.916666666666682</v>
      </c>
      <c r="B151">
        <f t="shared" si="17"/>
        <v>293.98101184362775</v>
      </c>
      <c r="C151">
        <f t="shared" si="16"/>
        <v>2.4514222479623711</v>
      </c>
      <c r="D151">
        <f t="shared" si="19"/>
        <v>1.5394540563150785</v>
      </c>
    </row>
    <row r="152" spans="1:4" x14ac:dyDescent="0.25">
      <c r="A152">
        <f t="shared" si="18"/>
        <v>12.000000000000016</v>
      </c>
      <c r="B152">
        <f t="shared" si="17"/>
        <v>296.43243409159015</v>
      </c>
      <c r="C152">
        <f t="shared" si="16"/>
        <v>2.5707385037158321</v>
      </c>
      <c r="D152">
        <f>D151*(1+$B$5)</f>
        <v>1.6010322185676817</v>
      </c>
    </row>
    <row r="153" spans="1:4" x14ac:dyDescent="0.25">
      <c r="A153">
        <f t="shared" si="18"/>
        <v>12.08333333333335</v>
      </c>
      <c r="B153">
        <f t="shared" si="17"/>
        <v>299.00317259530601</v>
      </c>
      <c r="C153">
        <f t="shared" si="16"/>
        <v>2.5930326108864574</v>
      </c>
      <c r="D153">
        <f>D152</f>
        <v>1.6010322185676817</v>
      </c>
    </row>
    <row r="154" spans="1:4" x14ac:dyDescent="0.25">
      <c r="A154">
        <f t="shared" si="18"/>
        <v>12.166666666666684</v>
      </c>
      <c r="B154">
        <f t="shared" si="17"/>
        <v>301.59620520619245</v>
      </c>
      <c r="C154">
        <f t="shared" si="16"/>
        <v>2.615520058303014</v>
      </c>
      <c r="D154">
        <f t="shared" ref="D154:D163" si="20">D153</f>
        <v>1.6010322185676817</v>
      </c>
    </row>
    <row r="155" spans="1:4" x14ac:dyDescent="0.25">
      <c r="A155">
        <f t="shared" si="18"/>
        <v>12.250000000000018</v>
      </c>
      <c r="B155">
        <f t="shared" si="17"/>
        <v>304.21172526449544</v>
      </c>
      <c r="C155">
        <f t="shared" si="16"/>
        <v>2.6382025226619685</v>
      </c>
      <c r="D155">
        <f t="shared" si="20"/>
        <v>1.6010322185676817</v>
      </c>
    </row>
    <row r="156" spans="1:4" x14ac:dyDescent="0.25">
      <c r="A156">
        <f t="shared" si="18"/>
        <v>12.333333333333352</v>
      </c>
      <c r="B156">
        <f t="shared" si="17"/>
        <v>306.84992778715741</v>
      </c>
      <c r="C156">
        <f t="shared" si="16"/>
        <v>2.6610816952005303</v>
      </c>
      <c r="D156">
        <f t="shared" si="20"/>
        <v>1.6010322185676817</v>
      </c>
    </row>
    <row r="157" spans="1:4" x14ac:dyDescent="0.25">
      <c r="A157">
        <f t="shared" si="18"/>
        <v>12.416666666666686</v>
      </c>
      <c r="B157">
        <f t="shared" si="17"/>
        <v>309.51100948235796</v>
      </c>
      <c r="C157">
        <f t="shared" si="16"/>
        <v>2.6841592818227547</v>
      </c>
      <c r="D157">
        <f t="shared" si="20"/>
        <v>1.6010322185676817</v>
      </c>
    </row>
    <row r="158" spans="1:4" x14ac:dyDescent="0.25">
      <c r="A158">
        <f t="shared" si="18"/>
        <v>12.50000000000002</v>
      </c>
      <c r="B158">
        <f t="shared" si="17"/>
        <v>312.19516876418072</v>
      </c>
      <c r="C158">
        <f t="shared" si="16"/>
        <v>2.7074370032267354</v>
      </c>
      <c r="D158">
        <f t="shared" si="20"/>
        <v>1.6010322185676817</v>
      </c>
    </row>
    <row r="159" spans="1:4" x14ac:dyDescent="0.25">
      <c r="A159">
        <f t="shared" si="18"/>
        <v>12.583333333333353</v>
      </c>
      <c r="B159">
        <f t="shared" si="17"/>
        <v>314.90260576740747</v>
      </c>
      <c r="C159">
        <f t="shared" si="16"/>
        <v>2.7309165950329057</v>
      </c>
      <c r="D159">
        <f t="shared" si="20"/>
        <v>1.6010322185676817</v>
      </c>
    </row>
    <row r="160" spans="1:4" x14ac:dyDescent="0.25">
      <c r="A160">
        <f t="shared" si="18"/>
        <v>12.666666666666687</v>
      </c>
      <c r="B160">
        <f t="shared" si="17"/>
        <v>317.63352236244037</v>
      </c>
      <c r="C160">
        <f t="shared" si="16"/>
        <v>2.7545998079134453</v>
      </c>
      <c r="D160">
        <f t="shared" si="20"/>
        <v>1.6010322185676817</v>
      </c>
    </row>
    <row r="161" spans="1:4" x14ac:dyDescent="0.25">
      <c r="A161">
        <f t="shared" si="18"/>
        <v>12.750000000000021</v>
      </c>
      <c r="B161">
        <f t="shared" si="17"/>
        <v>320.38812217035382</v>
      </c>
      <c r="C161">
        <f t="shared" si="16"/>
        <v>2.7784884077228149</v>
      </c>
      <c r="D161">
        <f t="shared" si="20"/>
        <v>1.6010322185676817</v>
      </c>
    </row>
    <row r="162" spans="1:4" x14ac:dyDescent="0.25">
      <c r="A162">
        <f t="shared" si="18"/>
        <v>12.833333333333355</v>
      </c>
      <c r="B162">
        <f t="shared" si="17"/>
        <v>323.16661057807664</v>
      </c>
      <c r="C162">
        <f t="shared" si="16"/>
        <v>2.8025841756294207</v>
      </c>
      <c r="D162">
        <f t="shared" si="20"/>
        <v>1.6010322185676817</v>
      </c>
    </row>
    <row r="163" spans="1:4" x14ac:dyDescent="0.25">
      <c r="A163">
        <f t="shared" si="18"/>
        <v>12.916666666666689</v>
      </c>
      <c r="B163">
        <f t="shared" si="17"/>
        <v>325.96919475370606</v>
      </c>
      <c r="C163">
        <f t="shared" si="16"/>
        <v>2.8268889082484199</v>
      </c>
      <c r="D163">
        <f t="shared" si="20"/>
        <v>1.6010322185676817</v>
      </c>
    </row>
    <row r="164" spans="1:4" x14ac:dyDescent="0.25">
      <c r="A164">
        <f t="shared" si="18"/>
        <v>13.000000000000023</v>
      </c>
      <c r="B164">
        <f t="shared" si="17"/>
        <v>328.79608366195447</v>
      </c>
      <c r="C164">
        <f t="shared" si="16"/>
        <v>2.9654605944867076</v>
      </c>
      <c r="D164">
        <f>D163*(1+$B$5)</f>
        <v>1.6650735073103891</v>
      </c>
    </row>
    <row r="165" spans="1:4" x14ac:dyDescent="0.25">
      <c r="A165">
        <f t="shared" si="18"/>
        <v>13.083333333333357</v>
      </c>
      <c r="B165">
        <f t="shared" si="17"/>
        <v>331.7615442564412</v>
      </c>
      <c r="C165">
        <f t="shared" si="16"/>
        <v>2.9922065229646599</v>
      </c>
      <c r="D165">
        <f>D164</f>
        <v>1.6650735073103891</v>
      </c>
    </row>
    <row r="166" spans="1:4" x14ac:dyDescent="0.25">
      <c r="A166">
        <f t="shared" si="18"/>
        <v>13.166666666666691</v>
      </c>
      <c r="B166">
        <f t="shared" si="17"/>
        <v>334.75375077940583</v>
      </c>
      <c r="C166">
        <f t="shared" si="16"/>
        <v>3.0191936769343544</v>
      </c>
      <c r="D166">
        <f t="shared" ref="D166:D175" si="21">D165</f>
        <v>1.6650735073103891</v>
      </c>
    </row>
    <row r="167" spans="1:4" x14ac:dyDescent="0.25">
      <c r="A167">
        <f t="shared" si="18"/>
        <v>13.250000000000025</v>
      </c>
      <c r="B167">
        <f t="shared" si="17"/>
        <v>337.77294445634021</v>
      </c>
      <c r="C167">
        <f t="shared" si="16"/>
        <v>3.046424232044243</v>
      </c>
      <c r="D167">
        <f t="shared" si="21"/>
        <v>1.6650735073103891</v>
      </c>
    </row>
    <row r="168" spans="1:4" x14ac:dyDescent="0.25">
      <c r="A168">
        <f t="shared" si="18"/>
        <v>13.333333333333359</v>
      </c>
      <c r="B168">
        <f t="shared" si="17"/>
        <v>340.81936868838443</v>
      </c>
      <c r="C168">
        <f t="shared" si="16"/>
        <v>3.0739003835652712</v>
      </c>
      <c r="D168">
        <f t="shared" si="21"/>
        <v>1.6650735073103891</v>
      </c>
    </row>
    <row r="169" spans="1:4" x14ac:dyDescent="0.25">
      <c r="A169">
        <f t="shared" si="18"/>
        <v>13.416666666666693</v>
      </c>
      <c r="B169">
        <f t="shared" si="17"/>
        <v>343.8932690719497</v>
      </c>
      <c r="C169">
        <f t="shared" si="16"/>
        <v>3.1016243465678608</v>
      </c>
      <c r="D169">
        <f t="shared" si="21"/>
        <v>1.6650735073103891</v>
      </c>
    </row>
    <row r="170" spans="1:4" x14ac:dyDescent="0.25">
      <c r="A170">
        <f t="shared" si="18"/>
        <v>13.500000000000027</v>
      </c>
      <c r="B170">
        <f t="shared" si="17"/>
        <v>346.99489341851756</v>
      </c>
      <c r="C170">
        <f t="shared" si="16"/>
        <v>3.1295983561004808</v>
      </c>
      <c r="D170">
        <f t="shared" si="21"/>
        <v>1.6650735073103891</v>
      </c>
    </row>
    <row r="171" spans="1:4" x14ac:dyDescent="0.25">
      <c r="A171">
        <f t="shared" si="18"/>
        <v>13.583333333333361</v>
      </c>
      <c r="B171">
        <f t="shared" si="17"/>
        <v>350.12449177461804</v>
      </c>
      <c r="C171">
        <f t="shared" si="16"/>
        <v>3.1578246673698329</v>
      </c>
      <c r="D171">
        <f t="shared" si="21"/>
        <v>1.6650735073103891</v>
      </c>
    </row>
    <row r="172" spans="1:4" x14ac:dyDescent="0.25">
      <c r="A172">
        <f t="shared" si="18"/>
        <v>13.666666666666694</v>
      </c>
      <c r="B172">
        <f t="shared" si="17"/>
        <v>353.28231644198786</v>
      </c>
      <c r="C172">
        <f t="shared" si="16"/>
        <v>3.1863055559226638</v>
      </c>
      <c r="D172">
        <f t="shared" si="21"/>
        <v>1.6650735073103891</v>
      </c>
    </row>
    <row r="173" spans="1:4" x14ac:dyDescent="0.25">
      <c r="A173">
        <f t="shared" si="18"/>
        <v>13.750000000000028</v>
      </c>
      <c r="B173">
        <f t="shared" si="17"/>
        <v>356.46862199791053</v>
      </c>
      <c r="C173">
        <f t="shared" si="16"/>
        <v>3.2150433178292119</v>
      </c>
      <c r="D173">
        <f t="shared" si="21"/>
        <v>1.6650735073103891</v>
      </c>
    </row>
    <row r="174" spans="1:4" x14ac:dyDescent="0.25">
      <c r="A174">
        <f t="shared" si="18"/>
        <v>13.833333333333362</v>
      </c>
      <c r="B174">
        <f t="shared" si="17"/>
        <v>359.68366531573974</v>
      </c>
      <c r="C174">
        <f t="shared" si="16"/>
        <v>3.244040269868314</v>
      </c>
      <c r="D174">
        <f t="shared" si="21"/>
        <v>1.6650735073103891</v>
      </c>
    </row>
    <row r="175" spans="1:4" x14ac:dyDescent="0.25">
      <c r="A175">
        <f t="shared" si="18"/>
        <v>13.916666666666696</v>
      </c>
      <c r="B175">
        <f t="shared" si="17"/>
        <v>362.92770558560807</v>
      </c>
      <c r="C175">
        <f t="shared" si="16"/>
        <v>3.2732987497141788</v>
      </c>
      <c r="D175">
        <f t="shared" si="21"/>
        <v>1.6650735073103891</v>
      </c>
    </row>
    <row r="176" spans="1:4" x14ac:dyDescent="0.25">
      <c r="A176">
        <f t="shared" si="18"/>
        <v>14.00000000000003</v>
      </c>
      <c r="B176">
        <f t="shared" si="17"/>
        <v>366.20100433532224</v>
      </c>
      <c r="C176">
        <f t="shared" si="16"/>
        <v>3.4349339607698379</v>
      </c>
      <c r="D176">
        <f>D175*(1+$B$5)</f>
        <v>1.7316764476028046</v>
      </c>
    </row>
    <row r="177" spans="1:4" x14ac:dyDescent="0.25">
      <c r="A177">
        <f t="shared" si="18"/>
        <v>14.083333333333364</v>
      </c>
      <c r="B177">
        <f t="shared" si="17"/>
        <v>369.63593829609209</v>
      </c>
      <c r="C177">
        <f t="shared" si="16"/>
        <v>3.467153346230742</v>
      </c>
      <c r="D177">
        <f>D176</f>
        <v>1.7316764476028046</v>
      </c>
    </row>
    <row r="178" spans="1:4" x14ac:dyDescent="0.25">
      <c r="A178">
        <f t="shared" si="18"/>
        <v>14.166666666666698</v>
      </c>
      <c r="B178">
        <f t="shared" si="17"/>
        <v>373.10309164232285</v>
      </c>
      <c r="C178">
        <f t="shared" si="16"/>
        <v>3.4996749467593404</v>
      </c>
      <c r="D178">
        <f t="shared" ref="D178:D187" si="22">D177</f>
        <v>1.7316764476028046</v>
      </c>
    </row>
    <row r="179" spans="1:4" x14ac:dyDescent="0.25">
      <c r="A179">
        <f t="shared" si="18"/>
        <v>14.250000000000032</v>
      </c>
      <c r="B179">
        <f t="shared" si="17"/>
        <v>376.60276658908219</v>
      </c>
      <c r="C179">
        <f t="shared" si="16"/>
        <v>3.5325015971070046</v>
      </c>
      <c r="D179">
        <f t="shared" si="22"/>
        <v>1.7316764476028046</v>
      </c>
    </row>
    <row r="180" spans="1:4" x14ac:dyDescent="0.25">
      <c r="A180">
        <f t="shared" si="18"/>
        <v>14.333333333333366</v>
      </c>
      <c r="B180">
        <f t="shared" si="17"/>
        <v>380.13526818618919</v>
      </c>
      <c r="C180">
        <f t="shared" si="16"/>
        <v>3.5656361586148311</v>
      </c>
      <c r="D180">
        <f t="shared" si="22"/>
        <v>1.7316764476028046</v>
      </c>
    </row>
    <row r="181" spans="1:4" x14ac:dyDescent="0.25">
      <c r="A181">
        <f t="shared" si="18"/>
        <v>14.4166666666667</v>
      </c>
      <c r="B181">
        <f t="shared" si="17"/>
        <v>383.70090434480403</v>
      </c>
      <c r="C181">
        <f t="shared" si="16"/>
        <v>3.5990815194630499</v>
      </c>
      <c r="D181">
        <f t="shared" si="22"/>
        <v>1.7316764476028046</v>
      </c>
    </row>
    <row r="182" spans="1:4" x14ac:dyDescent="0.25">
      <c r="A182">
        <f t="shared" si="18"/>
        <v>14.500000000000034</v>
      </c>
      <c r="B182">
        <f t="shared" si="17"/>
        <v>387.29998586426706</v>
      </c>
      <c r="C182">
        <f t="shared" si="16"/>
        <v>3.6328405949227731</v>
      </c>
      <c r="D182">
        <f t="shared" si="22"/>
        <v>1.7316764476028046</v>
      </c>
    </row>
    <row r="183" spans="1:4" x14ac:dyDescent="0.25">
      <c r="A183">
        <f t="shared" si="18"/>
        <v>14.583333333333368</v>
      </c>
      <c r="B183">
        <f t="shared" si="17"/>
        <v>390.93282645918981</v>
      </c>
      <c r="C183">
        <f t="shared" si="16"/>
        <v>3.6669163276101067</v>
      </c>
      <c r="D183">
        <f t="shared" si="22"/>
        <v>1.7316764476028046</v>
      </c>
    </row>
    <row r="184" spans="1:4" x14ac:dyDescent="0.25">
      <c r="A184">
        <f t="shared" si="18"/>
        <v>14.666666666666702</v>
      </c>
      <c r="B184">
        <f t="shared" si="17"/>
        <v>394.59974278679994</v>
      </c>
      <c r="C184">
        <f t="shared" si="16"/>
        <v>3.7013116877426415</v>
      </c>
      <c r="D184">
        <f t="shared" si="22"/>
        <v>1.7316764476028046</v>
      </c>
    </row>
    <row r="185" spans="1:4" x14ac:dyDescent="0.25">
      <c r="A185">
        <f t="shared" si="18"/>
        <v>14.750000000000036</v>
      </c>
      <c r="B185">
        <f t="shared" si="17"/>
        <v>398.30105447454258</v>
      </c>
      <c r="C185">
        <f t="shared" si="16"/>
        <v>3.7360296733983551</v>
      </c>
      <c r="D185">
        <f t="shared" si="22"/>
        <v>1.7316764476028046</v>
      </c>
    </row>
    <row r="186" spans="1:4" x14ac:dyDescent="0.25">
      <c r="A186">
        <f t="shared" si="18"/>
        <v>14.833333333333369</v>
      </c>
      <c r="B186">
        <f t="shared" si="17"/>
        <v>402.03708414794096</v>
      </c>
      <c r="C186">
        <f t="shared" si="16"/>
        <v>3.7710733107769379</v>
      </c>
      <c r="D186">
        <f t="shared" si="22"/>
        <v>1.7316764476028046</v>
      </c>
    </row>
    <row r="187" spans="1:4" x14ac:dyDescent="0.25">
      <c r="A187">
        <f t="shared" si="18"/>
        <v>14.916666666666703</v>
      </c>
      <c r="B187">
        <f t="shared" si="17"/>
        <v>405.80815745871791</v>
      </c>
      <c r="C187">
        <f t="shared" si="16"/>
        <v>3.8064456544635745</v>
      </c>
      <c r="D187">
        <f t="shared" si="22"/>
        <v>1.7316764476028046</v>
      </c>
    </row>
    <row r="188" spans="1:4" x14ac:dyDescent="0.25">
      <c r="A188">
        <f t="shared" si="18"/>
        <v>15.000000000000037</v>
      </c>
      <c r="B188">
        <f t="shared" si="17"/>
        <v>409.61460311318149</v>
      </c>
      <c r="C188">
        <f t="shared" si="16"/>
        <v>3.995835779203003</v>
      </c>
      <c r="D188">
        <f>D187*(1+$B$5)</f>
        <v>1.8009435055069167</v>
      </c>
    </row>
    <row r="189" spans="1:4" x14ac:dyDescent="0.25">
      <c r="A189">
        <f t="shared" si="18"/>
        <v>15.083333333333371</v>
      </c>
      <c r="B189">
        <f t="shared" si="17"/>
        <v>413.61043889238448</v>
      </c>
      <c r="C189">
        <f t="shared" si="16"/>
        <v>4.0348155993876533</v>
      </c>
      <c r="D189">
        <f>D188</f>
        <v>1.8009435055069167</v>
      </c>
    </row>
    <row r="190" spans="1:4" x14ac:dyDescent="0.25">
      <c r="A190">
        <f t="shared" si="18"/>
        <v>15.166666666666705</v>
      </c>
      <c r="B190">
        <f t="shared" si="17"/>
        <v>417.64525449177211</v>
      </c>
      <c r="C190">
        <f t="shared" si="16"/>
        <v>4.0741756720315108</v>
      </c>
      <c r="D190">
        <f t="shared" ref="D190:D199" si="23">D189</f>
        <v>1.8009435055069167</v>
      </c>
    </row>
    <row r="191" spans="1:4" x14ac:dyDescent="0.25">
      <c r="A191">
        <f t="shared" si="18"/>
        <v>15.250000000000039</v>
      </c>
      <c r="B191">
        <f t="shared" si="17"/>
        <v>421.71943016380362</v>
      </c>
      <c r="C191">
        <f t="shared" si="16"/>
        <v>4.1139197065393907</v>
      </c>
      <c r="D191">
        <f t="shared" si="23"/>
        <v>1.8009435055069167</v>
      </c>
    </row>
    <row r="192" spans="1:4" x14ac:dyDescent="0.25">
      <c r="A192">
        <f t="shared" si="18"/>
        <v>15.333333333333373</v>
      </c>
      <c r="B192">
        <f t="shared" si="17"/>
        <v>425.833349870343</v>
      </c>
      <c r="C192">
        <f t="shared" si="16"/>
        <v>4.1540514485017646</v>
      </c>
      <c r="D192">
        <f t="shared" si="23"/>
        <v>1.8009435055069167</v>
      </c>
    </row>
    <row r="193" spans="1:4" x14ac:dyDescent="0.25">
      <c r="A193">
        <f t="shared" si="18"/>
        <v>15.416666666666707</v>
      </c>
      <c r="B193">
        <f t="shared" si="17"/>
        <v>429.98740131884477</v>
      </c>
      <c r="C193">
        <f t="shared" si="16"/>
        <v>4.1945746800477526</v>
      </c>
      <c r="D193">
        <f t="shared" si="23"/>
        <v>1.8009435055069167</v>
      </c>
    </row>
    <row r="194" spans="1:4" x14ac:dyDescent="0.25">
      <c r="A194">
        <f t="shared" si="18"/>
        <v>15.500000000000041</v>
      </c>
      <c r="B194">
        <f t="shared" si="17"/>
        <v>434.18197599889254</v>
      </c>
      <c r="C194">
        <f t="shared" si="16"/>
        <v>4.2354932202015636</v>
      </c>
      <c r="D194">
        <f t="shared" si="23"/>
        <v>1.8009435055069167</v>
      </c>
    </row>
    <row r="195" spans="1:4" x14ac:dyDescent="0.25">
      <c r="A195">
        <f t="shared" si="18"/>
        <v>15.583333333333375</v>
      </c>
      <c r="B195">
        <f t="shared" si="17"/>
        <v>438.41746921909413</v>
      </c>
      <c r="C195">
        <f t="shared" si="16"/>
        <v>4.2768109252424082</v>
      </c>
      <c r="D195">
        <f t="shared" si="23"/>
        <v>1.8009435055069167</v>
      </c>
    </row>
    <row r="196" spans="1:4" x14ac:dyDescent="0.25">
      <c r="A196">
        <f t="shared" si="18"/>
        <v>15.666666666666709</v>
      </c>
      <c r="B196">
        <f t="shared" si="17"/>
        <v>442.69428014433652</v>
      </c>
      <c r="C196">
        <f t="shared" si="16"/>
        <v>4.3185316890679299</v>
      </c>
      <c r="D196">
        <f t="shared" si="23"/>
        <v>1.8009435055069167</v>
      </c>
    </row>
    <row r="197" spans="1:4" x14ac:dyDescent="0.25">
      <c r="A197">
        <f t="shared" si="18"/>
        <v>15.750000000000043</v>
      </c>
      <c r="B197">
        <f t="shared" si="17"/>
        <v>447.01281183340444</v>
      </c>
      <c r="C197">
        <f t="shared" si="16"/>
        <v>4.3606594435611736</v>
      </c>
      <c r="D197">
        <f t="shared" si="23"/>
        <v>1.8009435055069167</v>
      </c>
    </row>
    <row r="198" spans="1:4" x14ac:dyDescent="0.25">
      <c r="A198">
        <f t="shared" si="18"/>
        <v>15.833333333333377</v>
      </c>
      <c r="B198">
        <f t="shared" si="17"/>
        <v>451.37347127696563</v>
      </c>
      <c r="C198">
        <f t="shared" si="16"/>
        <v>4.4031981589611391</v>
      </c>
      <c r="D198">
        <f t="shared" si="23"/>
        <v>1.8009435055069167</v>
      </c>
    </row>
    <row r="199" spans="1:4" x14ac:dyDescent="0.25">
      <c r="A199">
        <f t="shared" si="18"/>
        <v>15.91666666666671</v>
      </c>
      <c r="B199">
        <f t="shared" si="17"/>
        <v>455.77666943592675</v>
      </c>
      <c r="C199">
        <f t="shared" si="16"/>
        <v>4.4461518442369448</v>
      </c>
      <c r="D199">
        <f t="shared" si="23"/>
        <v>1.8009435055069167</v>
      </c>
    </row>
    <row r="200" spans="1:4" x14ac:dyDescent="0.25">
      <c r="A200">
        <f t="shared" si="18"/>
        <v>16.000000000000043</v>
      </c>
      <c r="B200">
        <f t="shared" si="17"/>
        <v>460.22282128016371</v>
      </c>
      <c r="C200">
        <f t="shared" si="16"/>
        <v>4.6691055293642751</v>
      </c>
      <c r="D200">
        <f>D199*(1+$B$5)</f>
        <v>1.8729812457271935</v>
      </c>
    </row>
    <row r="201" spans="1:4" x14ac:dyDescent="0.25">
      <c r="A201">
        <f t="shared" si="18"/>
        <v>16.083333333333375</v>
      </c>
      <c r="B201">
        <f t="shared" si="17"/>
        <v>464.891926809528</v>
      </c>
      <c r="C201">
        <f t="shared" ref="C201:C264" si="24">B201*(($B$4)*D201/12)</f>
        <v>4.7164750761062191</v>
      </c>
      <c r="D201">
        <f>D200</f>
        <v>1.8729812457271935</v>
      </c>
    </row>
    <row r="202" spans="1:4" x14ac:dyDescent="0.25">
      <c r="A202">
        <f t="shared" si="18"/>
        <v>16.166666666666707</v>
      </c>
      <c r="B202">
        <f t="shared" ref="B202:B265" si="25">B201+C201</f>
        <v>469.60840188563424</v>
      </c>
      <c r="C202">
        <f t="shared" si="24"/>
        <v>4.7643252018251054</v>
      </c>
      <c r="D202">
        <f t="shared" ref="D202:D211" si="26">D201</f>
        <v>1.8729812457271935</v>
      </c>
    </row>
    <row r="203" spans="1:4" x14ac:dyDescent="0.25">
      <c r="A203">
        <f t="shared" ref="A203:A266" si="27">A202+(1/12)</f>
        <v>16.250000000000039</v>
      </c>
      <c r="B203">
        <f t="shared" si="25"/>
        <v>474.37272708745934</v>
      </c>
      <c r="C203">
        <f t="shared" si="24"/>
        <v>4.8126607821460761</v>
      </c>
      <c r="D203">
        <f t="shared" si="26"/>
        <v>1.8729812457271935</v>
      </c>
    </row>
    <row r="204" spans="1:4" x14ac:dyDescent="0.25">
      <c r="A204">
        <f t="shared" si="27"/>
        <v>16.333333333333371</v>
      </c>
      <c r="B204">
        <f t="shared" si="25"/>
        <v>479.18538786960539</v>
      </c>
      <c r="C204">
        <f t="shared" si="24"/>
        <v>4.8614867421590269</v>
      </c>
      <c r="D204">
        <f t="shared" si="26"/>
        <v>1.8729812457271935</v>
      </c>
    </row>
    <row r="205" spans="1:4" x14ac:dyDescent="0.25">
      <c r="A205">
        <f t="shared" si="27"/>
        <v>16.416666666666703</v>
      </c>
      <c r="B205">
        <f t="shared" si="25"/>
        <v>484.04687461176439</v>
      </c>
      <c r="C205">
        <f t="shared" si="24"/>
        <v>4.9108080569204429</v>
      </c>
      <c r="D205">
        <f t="shared" si="26"/>
        <v>1.8729812457271935</v>
      </c>
    </row>
    <row r="206" spans="1:4" x14ac:dyDescent="0.25">
      <c r="A206">
        <f t="shared" si="27"/>
        <v>16.500000000000036</v>
      </c>
      <c r="B206">
        <f t="shared" si="25"/>
        <v>488.95768266868481</v>
      </c>
      <c r="C206">
        <f t="shared" si="24"/>
        <v>4.9606297519603233</v>
      </c>
      <c r="D206">
        <f t="shared" si="26"/>
        <v>1.8729812457271935</v>
      </c>
    </row>
    <row r="207" spans="1:4" x14ac:dyDescent="0.25">
      <c r="A207">
        <f t="shared" si="27"/>
        <v>16.583333333333368</v>
      </c>
      <c r="B207">
        <f t="shared" si="25"/>
        <v>493.91831242064512</v>
      </c>
      <c r="C207">
        <f t="shared" si="24"/>
        <v>5.0109569037942538</v>
      </c>
      <c r="D207">
        <f t="shared" si="26"/>
        <v>1.8729812457271935</v>
      </c>
    </row>
    <row r="208" spans="1:4" x14ac:dyDescent="0.25">
      <c r="A208">
        <f t="shared" si="27"/>
        <v>16.6666666666667</v>
      </c>
      <c r="B208">
        <f t="shared" si="25"/>
        <v>498.92926932443936</v>
      </c>
      <c r="C208">
        <f t="shared" si="24"/>
        <v>5.0617946404406711</v>
      </c>
      <c r="D208">
        <f t="shared" si="26"/>
        <v>1.8729812457271935</v>
      </c>
    </row>
    <row r="209" spans="1:4" x14ac:dyDescent="0.25">
      <c r="A209">
        <f t="shared" si="27"/>
        <v>16.750000000000032</v>
      </c>
      <c r="B209">
        <f t="shared" si="25"/>
        <v>503.99106396488003</v>
      </c>
      <c r="C209">
        <f t="shared" si="24"/>
        <v>5.1131481419433715</v>
      </c>
      <c r="D209">
        <f t="shared" si="26"/>
        <v>1.8729812457271935</v>
      </c>
    </row>
    <row r="210" spans="1:4" x14ac:dyDescent="0.25">
      <c r="A210">
        <f t="shared" si="27"/>
        <v>16.833333333333364</v>
      </c>
      <c r="B210">
        <f t="shared" si="25"/>
        <v>509.10421210682341</v>
      </c>
      <c r="C210">
        <f t="shared" si="24"/>
        <v>5.1650226408993305</v>
      </c>
      <c r="D210">
        <f t="shared" si="26"/>
        <v>1.8729812457271935</v>
      </c>
    </row>
    <row r="211" spans="1:4" x14ac:dyDescent="0.25">
      <c r="A211">
        <f t="shared" si="27"/>
        <v>16.916666666666696</v>
      </c>
      <c r="B211">
        <f t="shared" si="25"/>
        <v>514.26923474772275</v>
      </c>
      <c r="C211">
        <f t="shared" si="24"/>
        <v>5.2174234229918683</v>
      </c>
      <c r="D211">
        <f t="shared" si="26"/>
        <v>1.8729812457271935</v>
      </c>
    </row>
    <row r="212" spans="1:4" x14ac:dyDescent="0.25">
      <c r="A212">
        <f t="shared" si="27"/>
        <v>17.000000000000028</v>
      </c>
      <c r="B212">
        <f t="shared" si="25"/>
        <v>519.48665817071458</v>
      </c>
      <c r="C212">
        <f t="shared" si="24"/>
        <v>5.4811700606303955</v>
      </c>
      <c r="D212">
        <f>D211*(1+$B$5)</f>
        <v>1.9479004955562813</v>
      </c>
    </row>
    <row r="213" spans="1:4" x14ac:dyDescent="0.25">
      <c r="A213">
        <f t="shared" si="27"/>
        <v>17.083333333333361</v>
      </c>
      <c r="B213">
        <f t="shared" si="25"/>
        <v>524.96782823134492</v>
      </c>
      <c r="C213">
        <f t="shared" si="24"/>
        <v>5.5390025857992669</v>
      </c>
      <c r="D213">
        <f>D212</f>
        <v>1.9479004955562813</v>
      </c>
    </row>
    <row r="214" spans="1:4" x14ac:dyDescent="0.25">
      <c r="A214">
        <f t="shared" si="27"/>
        <v>17.166666666666693</v>
      </c>
      <c r="B214">
        <f t="shared" si="25"/>
        <v>530.50683081714419</v>
      </c>
      <c r="C214">
        <f t="shared" si="24"/>
        <v>5.5974453093254981</v>
      </c>
      <c r="D214">
        <f t="shared" ref="D214:D223" si="28">D213</f>
        <v>1.9479004955562813</v>
      </c>
    </row>
    <row r="215" spans="1:4" x14ac:dyDescent="0.25">
      <c r="A215">
        <f t="shared" si="27"/>
        <v>17.250000000000025</v>
      </c>
      <c r="B215">
        <f t="shared" si="25"/>
        <v>536.1042761264697</v>
      </c>
      <c r="C215">
        <f t="shared" si="24"/>
        <v>5.6565046694898724</v>
      </c>
      <c r="D215">
        <f t="shared" si="28"/>
        <v>1.9479004955562813</v>
      </c>
    </row>
    <row r="216" spans="1:4" x14ac:dyDescent="0.25">
      <c r="A216">
        <f t="shared" si="27"/>
        <v>17.333333333333357</v>
      </c>
      <c r="B216">
        <f t="shared" si="25"/>
        <v>541.76078079595959</v>
      </c>
      <c r="C216">
        <f t="shared" si="24"/>
        <v>5.7161871725042905</v>
      </c>
      <c r="D216">
        <f t="shared" si="28"/>
        <v>1.9479004955562813</v>
      </c>
    </row>
    <row r="217" spans="1:4" x14ac:dyDescent="0.25">
      <c r="A217">
        <f t="shared" si="27"/>
        <v>17.416666666666689</v>
      </c>
      <c r="B217">
        <f t="shared" si="25"/>
        <v>547.4769679684639</v>
      </c>
      <c r="C217">
        <f t="shared" si="24"/>
        <v>5.7764993932285309</v>
      </c>
      <c r="D217">
        <f t="shared" si="28"/>
        <v>1.9479004955562813</v>
      </c>
    </row>
    <row r="218" spans="1:4" x14ac:dyDescent="0.25">
      <c r="A218">
        <f t="shared" si="27"/>
        <v>17.500000000000021</v>
      </c>
      <c r="B218">
        <f t="shared" si="25"/>
        <v>553.2534673616924</v>
      </c>
      <c r="C218">
        <f t="shared" si="24"/>
        <v>5.8374479758945537</v>
      </c>
      <c r="D218">
        <f t="shared" si="28"/>
        <v>1.9479004955562813</v>
      </c>
    </row>
    <row r="219" spans="1:4" x14ac:dyDescent="0.25">
      <c r="A219">
        <f t="shared" si="27"/>
        <v>17.583333333333353</v>
      </c>
      <c r="B219">
        <f t="shared" si="25"/>
        <v>559.09091533758692</v>
      </c>
      <c r="C219">
        <f t="shared" si="24"/>
        <v>5.8990396348384611</v>
      </c>
      <c r="D219">
        <f t="shared" si="28"/>
        <v>1.9479004955562813</v>
      </c>
    </row>
    <row r="220" spans="1:4" x14ac:dyDescent="0.25">
      <c r="A220">
        <f t="shared" si="27"/>
        <v>17.666666666666686</v>
      </c>
      <c r="B220">
        <f t="shared" si="25"/>
        <v>564.98995497242538</v>
      </c>
      <c r="C220">
        <f t="shared" si="24"/>
        <v>5.9612811552401705</v>
      </c>
      <c r="D220">
        <f t="shared" si="28"/>
        <v>1.9479004955562813</v>
      </c>
    </row>
    <row r="221" spans="1:4" x14ac:dyDescent="0.25">
      <c r="A221">
        <f t="shared" si="27"/>
        <v>17.750000000000018</v>
      </c>
      <c r="B221">
        <f t="shared" si="25"/>
        <v>570.95123612766554</v>
      </c>
      <c r="C221">
        <f t="shared" si="24"/>
        <v>6.0241793938709014</v>
      </c>
      <c r="D221">
        <f t="shared" si="28"/>
        <v>1.9479004955562813</v>
      </c>
    </row>
    <row r="222" spans="1:4" x14ac:dyDescent="0.25">
      <c r="A222">
        <f t="shared" si="27"/>
        <v>17.83333333333335</v>
      </c>
      <c r="B222">
        <f t="shared" si="25"/>
        <v>576.97541552153643</v>
      </c>
      <c r="C222">
        <f t="shared" si="24"/>
        <v>6.0877412798485402</v>
      </c>
      <c r="D222">
        <f t="shared" si="28"/>
        <v>1.9479004955562813</v>
      </c>
    </row>
    <row r="223" spans="1:4" x14ac:dyDescent="0.25">
      <c r="A223">
        <f t="shared" si="27"/>
        <v>17.916666666666682</v>
      </c>
      <c r="B223">
        <f t="shared" si="25"/>
        <v>583.06315680138493</v>
      </c>
      <c r="C223">
        <f t="shared" si="24"/>
        <v>6.1519738154009822</v>
      </c>
      <c r="D223">
        <f t="shared" si="28"/>
        <v>1.9479004955562813</v>
      </c>
    </row>
    <row r="224" spans="1:4" x14ac:dyDescent="0.25">
      <c r="A224">
        <f t="shared" si="27"/>
        <v>18.000000000000014</v>
      </c>
      <c r="B224">
        <f t="shared" si="25"/>
        <v>589.21513061678593</v>
      </c>
      <c r="C224">
        <f t="shared" si="24"/>
        <v>6.4655594397030232</v>
      </c>
      <c r="D224">
        <f>D223*(1+$B$5)</f>
        <v>2.0258165153785326</v>
      </c>
    </row>
    <row r="225" spans="1:4" x14ac:dyDescent="0.25">
      <c r="A225">
        <f t="shared" si="27"/>
        <v>18.083333333333346</v>
      </c>
      <c r="B225">
        <f t="shared" si="25"/>
        <v>595.68069005648897</v>
      </c>
      <c r="C225">
        <f t="shared" si="24"/>
        <v>6.536507140629463</v>
      </c>
      <c r="D225">
        <f>D224</f>
        <v>2.0258165153785326</v>
      </c>
    </row>
    <row r="226" spans="1:4" x14ac:dyDescent="0.25">
      <c r="A226">
        <f t="shared" si="27"/>
        <v>18.166666666666679</v>
      </c>
      <c r="B226">
        <f t="shared" si="25"/>
        <v>602.21719719711848</v>
      </c>
      <c r="C226">
        <f t="shared" si="24"/>
        <v>6.6082333629373382</v>
      </c>
      <c r="D226">
        <f t="shared" ref="D226:D235" si="29">D225</f>
        <v>2.0258165153785326</v>
      </c>
    </row>
    <row r="227" spans="1:4" x14ac:dyDescent="0.25">
      <c r="A227">
        <f t="shared" si="27"/>
        <v>18.250000000000011</v>
      </c>
      <c r="B227">
        <f t="shared" si="25"/>
        <v>608.82543056005579</v>
      </c>
      <c r="C227">
        <f t="shared" si="24"/>
        <v>6.6807466494762879</v>
      </c>
      <c r="D227">
        <f t="shared" si="29"/>
        <v>2.0258165153785326</v>
      </c>
    </row>
    <row r="228" spans="1:4" x14ac:dyDescent="0.25">
      <c r="A228">
        <f t="shared" si="27"/>
        <v>18.333333333333343</v>
      </c>
      <c r="B228">
        <f t="shared" si="25"/>
        <v>615.5061772095321</v>
      </c>
      <c r="C228">
        <f t="shared" si="24"/>
        <v>6.7540556368381193</v>
      </c>
      <c r="D228">
        <f t="shared" si="29"/>
        <v>2.0258165153785326</v>
      </c>
    </row>
    <row r="229" spans="1:4" x14ac:dyDescent="0.25">
      <c r="A229">
        <f t="shared" si="27"/>
        <v>18.416666666666675</v>
      </c>
      <c r="B229">
        <f t="shared" si="25"/>
        <v>622.26023284637017</v>
      </c>
      <c r="C229">
        <f t="shared" si="24"/>
        <v>6.8281690563854518</v>
      </c>
      <c r="D229">
        <f t="shared" si="29"/>
        <v>2.0258165153785326</v>
      </c>
    </row>
    <row r="230" spans="1:4" x14ac:dyDescent="0.25">
      <c r="A230">
        <f t="shared" si="27"/>
        <v>18.500000000000007</v>
      </c>
      <c r="B230">
        <f t="shared" si="25"/>
        <v>629.08840190275566</v>
      </c>
      <c r="C230">
        <f t="shared" si="24"/>
        <v>6.9030957352916564</v>
      </c>
      <c r="D230">
        <f t="shared" si="29"/>
        <v>2.0258165153785326</v>
      </c>
    </row>
    <row r="231" spans="1:4" x14ac:dyDescent="0.25">
      <c r="A231">
        <f t="shared" si="27"/>
        <v>18.583333333333339</v>
      </c>
      <c r="B231">
        <f t="shared" si="25"/>
        <v>635.99149763804735</v>
      </c>
      <c r="C231">
        <f t="shared" si="24"/>
        <v>6.9788445975922011</v>
      </c>
      <c r="D231">
        <f t="shared" si="29"/>
        <v>2.0258165153785326</v>
      </c>
    </row>
    <row r="232" spans="1:4" x14ac:dyDescent="0.25">
      <c r="A232">
        <f t="shared" si="27"/>
        <v>18.666666666666671</v>
      </c>
      <c r="B232">
        <f t="shared" si="25"/>
        <v>642.97034223563958</v>
      </c>
      <c r="C232">
        <f t="shared" si="24"/>
        <v>7.0554246652475401</v>
      </c>
      <c r="D232">
        <f t="shared" si="29"/>
        <v>2.0258165153785326</v>
      </c>
    </row>
    <row r="233" spans="1:4" x14ac:dyDescent="0.25">
      <c r="A233">
        <f t="shared" si="27"/>
        <v>18.750000000000004</v>
      </c>
      <c r="B233">
        <f t="shared" si="25"/>
        <v>650.02576690088711</v>
      </c>
      <c r="C233">
        <f t="shared" si="24"/>
        <v>7.1328450592176562</v>
      </c>
      <c r="D233">
        <f t="shared" si="29"/>
        <v>2.0258165153785326</v>
      </c>
    </row>
    <row r="234" spans="1:4" x14ac:dyDescent="0.25">
      <c r="A234">
        <f t="shared" si="27"/>
        <v>18.833333333333336</v>
      </c>
      <c r="B234">
        <f t="shared" si="25"/>
        <v>657.15861196010474</v>
      </c>
      <c r="C234">
        <f t="shared" si="24"/>
        <v>7.2111150005484017</v>
      </c>
      <c r="D234">
        <f t="shared" si="29"/>
        <v>2.0258165153785326</v>
      </c>
    </row>
    <row r="235" spans="1:4" x14ac:dyDescent="0.25">
      <c r="A235">
        <f t="shared" si="27"/>
        <v>18.916666666666668</v>
      </c>
      <c r="B235">
        <f t="shared" si="25"/>
        <v>664.36972696065311</v>
      </c>
      <c r="C235">
        <f t="shared" si="24"/>
        <v>7.290243811469761</v>
      </c>
      <c r="D235">
        <f t="shared" si="29"/>
        <v>2.0258165153785326</v>
      </c>
    </row>
    <row r="236" spans="1:4" x14ac:dyDescent="0.25">
      <c r="A236">
        <f t="shared" si="27"/>
        <v>19</v>
      </c>
      <c r="B236">
        <f t="shared" si="25"/>
        <v>671.65997077212285</v>
      </c>
      <c r="C236">
        <f t="shared" si="24"/>
        <v>7.6650505531664033</v>
      </c>
      <c r="D236">
        <f>D235*(1+$B$5)</f>
        <v>2.1068491759936738</v>
      </c>
    </row>
    <row r="237" spans="1:4" x14ac:dyDescent="0.25">
      <c r="A237">
        <f t="shared" si="27"/>
        <v>19.083333333333332</v>
      </c>
      <c r="B237">
        <f t="shared" si="25"/>
        <v>679.3250213252893</v>
      </c>
      <c r="C237">
        <f t="shared" si="24"/>
        <v>7.752524874309966</v>
      </c>
      <c r="D237">
        <f>D236</f>
        <v>2.1068491759936738</v>
      </c>
    </row>
    <row r="238" spans="1:4" x14ac:dyDescent="0.25">
      <c r="A238">
        <f t="shared" si="27"/>
        <v>19.166666666666664</v>
      </c>
      <c r="B238">
        <f t="shared" si="25"/>
        <v>687.07754619959928</v>
      </c>
      <c r="C238">
        <f t="shared" si="24"/>
        <v>7.8409974611278974</v>
      </c>
      <c r="D238">
        <f t="shared" ref="D238:D247" si="30">D237</f>
        <v>2.1068491759936738</v>
      </c>
    </row>
    <row r="239" spans="1:4" x14ac:dyDescent="0.25">
      <c r="A239">
        <f t="shared" si="27"/>
        <v>19.249999999999996</v>
      </c>
      <c r="B239">
        <f t="shared" si="25"/>
        <v>694.91854366072721</v>
      </c>
      <c r="C239">
        <f t="shared" si="24"/>
        <v>7.9304797059276044</v>
      </c>
      <c r="D239">
        <f t="shared" si="30"/>
        <v>2.1068491759936738</v>
      </c>
    </row>
    <row r="240" spans="1:4" x14ac:dyDescent="0.25">
      <c r="A240">
        <f t="shared" si="27"/>
        <v>19.333333333333329</v>
      </c>
      <c r="B240">
        <f t="shared" si="25"/>
        <v>702.84902336665482</v>
      </c>
      <c r="C240">
        <f t="shared" si="24"/>
        <v>8.0209831310266395</v>
      </c>
      <c r="D240">
        <f t="shared" si="30"/>
        <v>2.1068491759936738</v>
      </c>
    </row>
    <row r="241" spans="1:4" x14ac:dyDescent="0.25">
      <c r="A241">
        <f t="shared" si="27"/>
        <v>19.416666666666661</v>
      </c>
      <c r="B241">
        <f t="shared" si="25"/>
        <v>710.87000649768152</v>
      </c>
      <c r="C241">
        <f t="shared" si="24"/>
        <v>8.1125193902363968</v>
      </c>
      <c r="D241">
        <f t="shared" si="30"/>
        <v>2.1068491759936738</v>
      </c>
    </row>
    <row r="242" spans="1:4" x14ac:dyDescent="0.25">
      <c r="A242">
        <f t="shared" si="27"/>
        <v>19.499999999999993</v>
      </c>
      <c r="B242">
        <f t="shared" si="25"/>
        <v>718.98252588791786</v>
      </c>
      <c r="C242">
        <f t="shared" si="24"/>
        <v>8.2051002703627205</v>
      </c>
      <c r="D242">
        <f t="shared" si="30"/>
        <v>2.1068491759936738</v>
      </c>
    </row>
    <row r="243" spans="1:4" x14ac:dyDescent="0.25">
      <c r="A243">
        <f t="shared" si="27"/>
        <v>19.583333333333325</v>
      </c>
      <c r="B243">
        <f t="shared" si="25"/>
        <v>727.18762615828064</v>
      </c>
      <c r="C243">
        <f t="shared" si="24"/>
        <v>8.2987376927236678</v>
      </c>
      <c r="D243">
        <f t="shared" si="30"/>
        <v>2.1068491759936738</v>
      </c>
    </row>
    <row r="244" spans="1:4" x14ac:dyDescent="0.25">
      <c r="A244">
        <f t="shared" si="27"/>
        <v>19.666666666666657</v>
      </c>
      <c r="B244">
        <f t="shared" si="25"/>
        <v>735.48636385100428</v>
      </c>
      <c r="C244">
        <f t="shared" si="24"/>
        <v>8.3934437146845546</v>
      </c>
      <c r="D244">
        <f t="shared" si="30"/>
        <v>2.1068491759936738</v>
      </c>
    </row>
    <row r="245" spans="1:4" x14ac:dyDescent="0.25">
      <c r="A245">
        <f t="shared" si="27"/>
        <v>19.749999999999989</v>
      </c>
      <c r="B245">
        <f t="shared" si="25"/>
        <v>743.87980756568879</v>
      </c>
      <c r="C245">
        <f t="shared" si="24"/>
        <v>8.4892305312105645</v>
      </c>
      <c r="D245">
        <f t="shared" si="30"/>
        <v>2.1068491759936738</v>
      </c>
    </row>
    <row r="246" spans="1:4" x14ac:dyDescent="0.25">
      <c r="A246">
        <f t="shared" si="27"/>
        <v>19.833333333333321</v>
      </c>
      <c r="B246">
        <f t="shared" si="25"/>
        <v>752.36903809689932</v>
      </c>
      <c r="C246">
        <f t="shared" si="24"/>
        <v>8.5861104764370282</v>
      </c>
      <c r="D246">
        <f t="shared" si="30"/>
        <v>2.1068491759936738</v>
      </c>
    </row>
    <row r="247" spans="1:4" x14ac:dyDescent="0.25">
      <c r="A247">
        <f t="shared" si="27"/>
        <v>19.916666666666654</v>
      </c>
      <c r="B247">
        <f t="shared" si="25"/>
        <v>760.95514857333637</v>
      </c>
      <c r="C247">
        <f t="shared" si="24"/>
        <v>8.68409602525767</v>
      </c>
      <c r="D247">
        <f t="shared" si="30"/>
        <v>2.1068491759936738</v>
      </c>
    </row>
    <row r="248" spans="1:4" x14ac:dyDescent="0.25">
      <c r="A248">
        <f t="shared" si="27"/>
        <v>19.999999999999986</v>
      </c>
      <c r="B248">
        <f t="shared" si="25"/>
        <v>769.63924459859402</v>
      </c>
      <c r="C248">
        <f t="shared" si="24"/>
        <v>9.1345277867281709</v>
      </c>
      <c r="D248">
        <f>D247*(1+$B$5)</f>
        <v>2.1911231430334208</v>
      </c>
    </row>
    <row r="249" spans="1:4" x14ac:dyDescent="0.25">
      <c r="A249">
        <f t="shared" si="27"/>
        <v>20.083333333333318</v>
      </c>
      <c r="B249">
        <f t="shared" si="25"/>
        <v>778.77377238532222</v>
      </c>
      <c r="C249">
        <f t="shared" si="24"/>
        <v>9.2429416942466567</v>
      </c>
      <c r="D249">
        <f>D248</f>
        <v>2.1911231430334208</v>
      </c>
    </row>
    <row r="250" spans="1:4" x14ac:dyDescent="0.25">
      <c r="A250">
        <f t="shared" si="27"/>
        <v>20.16666666666665</v>
      </c>
      <c r="B250">
        <f t="shared" si="25"/>
        <v>788.01671407956883</v>
      </c>
      <c r="C250">
        <f t="shared" si="24"/>
        <v>9.3526423212998395</v>
      </c>
      <c r="D250">
        <f t="shared" ref="D250:D259" si="31">D249</f>
        <v>2.1911231430334208</v>
      </c>
    </row>
    <row r="251" spans="1:4" x14ac:dyDescent="0.25">
      <c r="A251">
        <f t="shared" si="27"/>
        <v>20.249999999999982</v>
      </c>
      <c r="B251">
        <f t="shared" si="25"/>
        <v>797.3693564008687</v>
      </c>
      <c r="C251">
        <f t="shared" si="24"/>
        <v>9.4636449394262065</v>
      </c>
      <c r="D251">
        <f t="shared" si="31"/>
        <v>2.1911231430334208</v>
      </c>
    </row>
    <row r="252" spans="1:4" x14ac:dyDescent="0.25">
      <c r="A252">
        <f t="shared" si="27"/>
        <v>20.333333333333314</v>
      </c>
      <c r="B252">
        <f t="shared" si="25"/>
        <v>806.83300134029491</v>
      </c>
      <c r="C252">
        <f t="shared" si="24"/>
        <v>9.575965001415776</v>
      </c>
      <c r="D252">
        <f t="shared" si="31"/>
        <v>2.1911231430334208</v>
      </c>
    </row>
    <row r="253" spans="1:4" x14ac:dyDescent="0.25">
      <c r="A253">
        <f t="shared" si="27"/>
        <v>20.416666666666647</v>
      </c>
      <c r="B253">
        <f t="shared" si="25"/>
        <v>816.40896634171065</v>
      </c>
      <c r="C253">
        <f t="shared" si="24"/>
        <v>9.689618143461292</v>
      </c>
      <c r="D253">
        <f t="shared" si="31"/>
        <v>2.1911231430334208</v>
      </c>
    </row>
    <row r="254" spans="1:4" x14ac:dyDescent="0.25">
      <c r="A254">
        <f t="shared" si="27"/>
        <v>20.499999999999979</v>
      </c>
      <c r="B254">
        <f t="shared" si="25"/>
        <v>826.09858448517195</v>
      </c>
      <c r="C254">
        <f t="shared" si="24"/>
        <v>9.8046201873349705</v>
      </c>
      <c r="D254">
        <f t="shared" si="31"/>
        <v>2.1911231430334208</v>
      </c>
    </row>
    <row r="255" spans="1:4" x14ac:dyDescent="0.25">
      <c r="A255">
        <f t="shared" si="27"/>
        <v>20.583333333333311</v>
      </c>
      <c r="B255">
        <f t="shared" si="25"/>
        <v>835.90320467250694</v>
      </c>
      <c r="C255">
        <f t="shared" si="24"/>
        <v>9.9209871425910503</v>
      </c>
      <c r="D255">
        <f t="shared" si="31"/>
        <v>2.1911231430334208</v>
      </c>
    </row>
    <row r="256" spans="1:4" x14ac:dyDescent="0.25">
      <c r="A256">
        <f t="shared" si="27"/>
        <v>20.666666666666643</v>
      </c>
      <c r="B256">
        <f t="shared" si="25"/>
        <v>845.82419181509795</v>
      </c>
      <c r="C256">
        <f t="shared" si="24"/>
        <v>10.038735208794503</v>
      </c>
      <c r="D256">
        <f t="shared" si="31"/>
        <v>2.1911231430334208</v>
      </c>
    </row>
    <row r="257" spans="1:4" x14ac:dyDescent="0.25">
      <c r="A257">
        <f t="shared" si="27"/>
        <v>20.749999999999975</v>
      </c>
      <c r="B257">
        <f t="shared" si="25"/>
        <v>855.86292702389244</v>
      </c>
      <c r="C257">
        <f t="shared" si="24"/>
        <v>10.157880777776196</v>
      </c>
      <c r="D257">
        <f t="shared" si="31"/>
        <v>2.1911231430334208</v>
      </c>
    </row>
    <row r="258" spans="1:4" x14ac:dyDescent="0.25">
      <c r="A258">
        <f t="shared" si="27"/>
        <v>20.833333333333307</v>
      </c>
      <c r="B258">
        <f t="shared" si="25"/>
        <v>866.02080780166864</v>
      </c>
      <c r="C258">
        <f t="shared" si="24"/>
        <v>10.278440435914812</v>
      </c>
      <c r="D258">
        <f t="shared" si="31"/>
        <v>2.1911231430334208</v>
      </c>
    </row>
    <row r="259" spans="1:4" x14ac:dyDescent="0.25">
      <c r="A259">
        <f t="shared" si="27"/>
        <v>20.916666666666639</v>
      </c>
      <c r="B259">
        <f t="shared" si="25"/>
        <v>876.29924823758347</v>
      </c>
      <c r="C259">
        <f t="shared" si="24"/>
        <v>10.400430966445855</v>
      </c>
      <c r="D259">
        <f t="shared" si="31"/>
        <v>2.1911231430334208</v>
      </c>
    </row>
    <row r="260" spans="1:4" x14ac:dyDescent="0.25">
      <c r="A260">
        <f t="shared" si="27"/>
        <v>20.999999999999972</v>
      </c>
      <c r="B260">
        <f t="shared" si="25"/>
        <v>886.69967920402928</v>
      </c>
      <c r="C260">
        <f t="shared" si="24"/>
        <v>10.944824125869991</v>
      </c>
      <c r="D260">
        <f>D259*(1+$B$5)</f>
        <v>2.2787680687547578</v>
      </c>
    </row>
    <row r="261" spans="1:4" x14ac:dyDescent="0.25">
      <c r="A261">
        <f t="shared" si="27"/>
        <v>21.083333333333304</v>
      </c>
      <c r="B261">
        <f t="shared" si="25"/>
        <v>897.64450332989929</v>
      </c>
      <c r="C261">
        <f t="shared" si="24"/>
        <v>11.079919669440907</v>
      </c>
      <c r="D261">
        <f>D260</f>
        <v>2.2787680687547578</v>
      </c>
    </row>
    <row r="262" spans="1:4" x14ac:dyDescent="0.25">
      <c r="A262">
        <f t="shared" si="27"/>
        <v>21.166666666666636</v>
      </c>
      <c r="B262">
        <f t="shared" si="25"/>
        <v>908.72442299934016</v>
      </c>
      <c r="C262">
        <f t="shared" si="24"/>
        <v>11.216682741487642</v>
      </c>
      <c r="D262">
        <f t="shared" ref="D262:D271" si="32">D261</f>
        <v>2.2787680687547578</v>
      </c>
    </row>
    <row r="263" spans="1:4" x14ac:dyDescent="0.25">
      <c r="A263">
        <f t="shared" si="27"/>
        <v>21.249999999999968</v>
      </c>
      <c r="B263">
        <f t="shared" si="25"/>
        <v>919.94110574082777</v>
      </c>
      <c r="C263">
        <f t="shared" si="24"/>
        <v>11.355133924859521</v>
      </c>
      <c r="D263">
        <f t="shared" si="32"/>
        <v>2.2787680687547578</v>
      </c>
    </row>
    <row r="264" spans="1:4" x14ac:dyDescent="0.25">
      <c r="A264">
        <f t="shared" si="27"/>
        <v>21.3333333333333</v>
      </c>
      <c r="B264">
        <f t="shared" si="25"/>
        <v>931.29623966568727</v>
      </c>
      <c r="C264">
        <f t="shared" si="24"/>
        <v>11.495294056466708</v>
      </c>
      <c r="D264">
        <f t="shared" si="32"/>
        <v>2.2787680687547578</v>
      </c>
    </row>
    <row r="265" spans="1:4" x14ac:dyDescent="0.25">
      <c r="A265">
        <f t="shared" si="27"/>
        <v>21.416666666666632</v>
      </c>
      <c r="B265">
        <f t="shared" si="25"/>
        <v>942.79153372215399</v>
      </c>
      <c r="C265">
        <f t="shared" ref="C265:C328" si="33">B265*(($B$4)*D265/12)</f>
        <v>11.637184230416164</v>
      </c>
      <c r="D265">
        <f t="shared" si="32"/>
        <v>2.2787680687547578</v>
      </c>
    </row>
    <row r="266" spans="1:4" x14ac:dyDescent="0.25">
      <c r="A266">
        <f t="shared" si="27"/>
        <v>21.499999999999964</v>
      </c>
      <c r="B266">
        <f t="shared" ref="B266:B329" si="34">B265+C265</f>
        <v>954.4287179525702</v>
      </c>
      <c r="C266">
        <f t="shared" si="33"/>
        <v>11.780825801186312</v>
      </c>
      <c r="D266">
        <f t="shared" si="32"/>
        <v>2.2787680687547578</v>
      </c>
    </row>
    <row r="267" spans="1:4" x14ac:dyDescent="0.25">
      <c r="A267">
        <f t="shared" ref="A267:A330" si="35">A266+(1/12)</f>
        <v>21.583333333333297</v>
      </c>
      <c r="B267">
        <f t="shared" si="34"/>
        <v>966.20954375375652</v>
      </c>
      <c r="C267">
        <f t="shared" si="33"/>
        <v>11.926240386840885</v>
      </c>
      <c r="D267">
        <f t="shared" si="32"/>
        <v>2.2787680687547578</v>
      </c>
    </row>
    <row r="268" spans="1:4" x14ac:dyDescent="0.25">
      <c r="A268">
        <f t="shared" si="35"/>
        <v>21.666666666666629</v>
      </c>
      <c r="B268">
        <f t="shared" si="34"/>
        <v>978.13578414059737</v>
      </c>
      <c r="C268">
        <f t="shared" si="33"/>
        <v>12.073449872282444</v>
      </c>
      <c r="D268">
        <f t="shared" si="32"/>
        <v>2.2787680687547578</v>
      </c>
    </row>
    <row r="269" spans="1:4" x14ac:dyDescent="0.25">
      <c r="A269">
        <f t="shared" si="35"/>
        <v>21.749999999999961</v>
      </c>
      <c r="B269">
        <f t="shared" si="34"/>
        <v>990.20923401287985</v>
      </c>
      <c r="C269">
        <f t="shared" si="33"/>
        <v>12.222476412546063</v>
      </c>
      <c r="D269">
        <f t="shared" si="32"/>
        <v>2.2787680687547578</v>
      </c>
    </row>
    <row r="270" spans="1:4" x14ac:dyDescent="0.25">
      <c r="A270">
        <f t="shared" si="35"/>
        <v>21.833333333333293</v>
      </c>
      <c r="B270">
        <f t="shared" si="34"/>
        <v>1002.4317104254259</v>
      </c>
      <c r="C270">
        <f t="shared" si="33"/>
        <v>12.373342436133662</v>
      </c>
      <c r="D270">
        <f t="shared" si="32"/>
        <v>2.2787680687547578</v>
      </c>
    </row>
    <row r="271" spans="1:4" x14ac:dyDescent="0.25">
      <c r="A271">
        <f t="shared" si="35"/>
        <v>21.916666666666625</v>
      </c>
      <c r="B271">
        <f t="shared" si="34"/>
        <v>1014.8050528615595</v>
      </c>
      <c r="C271">
        <f t="shared" si="33"/>
        <v>12.526070648389489</v>
      </c>
      <c r="D271">
        <f t="shared" si="32"/>
        <v>2.2787680687547578</v>
      </c>
    </row>
    <row r="272" spans="1:4" x14ac:dyDescent="0.25">
      <c r="A272">
        <f t="shared" si="35"/>
        <v>21.999999999999957</v>
      </c>
      <c r="B272">
        <f t="shared" si="34"/>
        <v>1027.3311235099491</v>
      </c>
      <c r="C272">
        <f t="shared" si="33"/>
        <v>13.18791139631398</v>
      </c>
      <c r="D272">
        <f>D271*(1+$B$5)</f>
        <v>2.369918791504948</v>
      </c>
    </row>
    <row r="273" spans="1:4" x14ac:dyDescent="0.25">
      <c r="A273">
        <f t="shared" si="35"/>
        <v>22.08333333333329</v>
      </c>
      <c r="B273">
        <f t="shared" si="34"/>
        <v>1040.519034906263</v>
      </c>
      <c r="C273">
        <f t="shared" si="33"/>
        <v>13.357205407774289</v>
      </c>
      <c r="D273">
        <f>D272</f>
        <v>2.369918791504948</v>
      </c>
    </row>
    <row r="274" spans="1:4" x14ac:dyDescent="0.25">
      <c r="A274">
        <f t="shared" si="35"/>
        <v>22.166666666666622</v>
      </c>
      <c r="B274">
        <f t="shared" si="34"/>
        <v>1053.8762403140372</v>
      </c>
      <c r="C274">
        <f t="shared" si="33"/>
        <v>13.528672656637784</v>
      </c>
      <c r="D274">
        <f t="shared" ref="D274:D283" si="36">D273</f>
        <v>2.369918791504948</v>
      </c>
    </row>
    <row r="275" spans="1:4" x14ac:dyDescent="0.25">
      <c r="A275">
        <f t="shared" si="35"/>
        <v>22.249999999999954</v>
      </c>
      <c r="B275">
        <f t="shared" si="34"/>
        <v>1067.404912970675</v>
      </c>
      <c r="C275">
        <f t="shared" si="33"/>
        <v>13.702341040883661</v>
      </c>
      <c r="D275">
        <f t="shared" si="36"/>
        <v>2.369918791504948</v>
      </c>
    </row>
    <row r="276" spans="1:4" x14ac:dyDescent="0.25">
      <c r="A276">
        <f t="shared" si="35"/>
        <v>22.333333333333286</v>
      </c>
      <c r="B276">
        <f t="shared" si="34"/>
        <v>1081.1072540115588</v>
      </c>
      <c r="C276">
        <f t="shared" si="33"/>
        <v>13.878238816619161</v>
      </c>
      <c r="D276">
        <f t="shared" si="36"/>
        <v>2.369918791504948</v>
      </c>
    </row>
    <row r="277" spans="1:4" x14ac:dyDescent="0.25">
      <c r="A277">
        <f t="shared" si="35"/>
        <v>22.416666666666618</v>
      </c>
      <c r="B277">
        <f t="shared" si="34"/>
        <v>1094.9854928281779</v>
      </c>
      <c r="C277">
        <f t="shared" si="33"/>
        <v>14.056394602676864</v>
      </c>
      <c r="D277">
        <f t="shared" si="36"/>
        <v>2.369918791504948</v>
      </c>
    </row>
    <row r="278" spans="1:4" x14ac:dyDescent="0.25">
      <c r="A278">
        <f t="shared" si="35"/>
        <v>22.49999999999995</v>
      </c>
      <c r="B278">
        <f t="shared" si="34"/>
        <v>1109.0418874308548</v>
      </c>
      <c r="C278">
        <f t="shared" si="33"/>
        <v>14.236837385271032</v>
      </c>
      <c r="D278">
        <f t="shared" si="36"/>
        <v>2.369918791504948</v>
      </c>
    </row>
    <row r="279" spans="1:4" x14ac:dyDescent="0.25">
      <c r="A279">
        <f t="shared" si="35"/>
        <v>22.583333333333282</v>
      </c>
      <c r="B279">
        <f t="shared" si="34"/>
        <v>1123.2787248161258</v>
      </c>
      <c r="C279">
        <f t="shared" si="33"/>
        <v>14.4195965227137</v>
      </c>
      <c r="D279">
        <f t="shared" si="36"/>
        <v>2.369918791504948</v>
      </c>
    </row>
    <row r="280" spans="1:4" x14ac:dyDescent="0.25">
      <c r="A280">
        <f t="shared" si="35"/>
        <v>22.666666666666615</v>
      </c>
      <c r="B280">
        <f t="shared" si="34"/>
        <v>1137.6983213388394</v>
      </c>
      <c r="C280">
        <f t="shared" si="33"/>
        <v>14.604701750191316</v>
      </c>
      <c r="D280">
        <f t="shared" si="36"/>
        <v>2.369918791504948</v>
      </c>
    </row>
    <row r="281" spans="1:4" x14ac:dyDescent="0.25">
      <c r="A281">
        <f t="shared" si="35"/>
        <v>22.749999999999947</v>
      </c>
      <c r="B281">
        <f t="shared" si="34"/>
        <v>1152.3030230890306</v>
      </c>
      <c r="C281">
        <f t="shared" si="33"/>
        <v>14.79218318460271</v>
      </c>
      <c r="D281">
        <f t="shared" si="36"/>
        <v>2.369918791504948</v>
      </c>
    </row>
    <row r="282" spans="1:4" x14ac:dyDescent="0.25">
      <c r="A282">
        <f t="shared" si="35"/>
        <v>22.833333333333279</v>
      </c>
      <c r="B282">
        <f t="shared" si="34"/>
        <v>1167.0952062736333</v>
      </c>
      <c r="C282">
        <f t="shared" si="33"/>
        <v>14.982071329459147</v>
      </c>
      <c r="D282">
        <f t="shared" si="36"/>
        <v>2.369918791504948</v>
      </c>
    </row>
    <row r="283" spans="1:4" x14ac:dyDescent="0.25">
      <c r="A283">
        <f t="shared" si="35"/>
        <v>22.916666666666611</v>
      </c>
      <c r="B283">
        <f t="shared" si="34"/>
        <v>1182.0772776030924</v>
      </c>
      <c r="C283">
        <f t="shared" si="33"/>
        <v>15.174397079847308</v>
      </c>
      <c r="D283">
        <f t="shared" si="36"/>
        <v>2.369918791504948</v>
      </c>
    </row>
    <row r="284" spans="1:4" x14ac:dyDescent="0.25">
      <c r="A284">
        <f t="shared" si="35"/>
        <v>22.999999999999943</v>
      </c>
      <c r="B284">
        <f t="shared" si="34"/>
        <v>1197.2516746829397</v>
      </c>
      <c r="C284">
        <f t="shared" si="33"/>
        <v>15.983959396554191</v>
      </c>
      <c r="D284">
        <f>D283*(1+$B$5)</f>
        <v>2.4647155431651462</v>
      </c>
    </row>
    <row r="285" spans="1:4" x14ac:dyDescent="0.25">
      <c r="A285">
        <f t="shared" si="35"/>
        <v>23.083333333333275</v>
      </c>
      <c r="B285">
        <f t="shared" si="34"/>
        <v>1213.2356340794938</v>
      </c>
      <c r="C285">
        <f t="shared" si="33"/>
        <v>16.197353926203398</v>
      </c>
      <c r="D285">
        <f>D284</f>
        <v>2.4647155431651462</v>
      </c>
    </row>
    <row r="286" spans="1:4" x14ac:dyDescent="0.25">
      <c r="A286">
        <f t="shared" si="35"/>
        <v>23.166666666666607</v>
      </c>
      <c r="B286">
        <f t="shared" si="34"/>
        <v>1229.4329880056973</v>
      </c>
      <c r="C286">
        <f t="shared" si="33"/>
        <v>16.413597388595395</v>
      </c>
      <c r="D286">
        <f t="shared" ref="D286:D295" si="37">D285</f>
        <v>2.4647155431651462</v>
      </c>
    </row>
    <row r="287" spans="1:4" x14ac:dyDescent="0.25">
      <c r="A287">
        <f t="shared" si="35"/>
        <v>23.24999999999994</v>
      </c>
      <c r="B287">
        <f t="shared" si="34"/>
        <v>1245.8465853942928</v>
      </c>
      <c r="C287">
        <f t="shared" si="33"/>
        <v>16.632727818527911</v>
      </c>
      <c r="D287">
        <f t="shared" si="37"/>
        <v>2.4647155431651462</v>
      </c>
    </row>
    <row r="288" spans="1:4" x14ac:dyDescent="0.25">
      <c r="A288">
        <f t="shared" si="35"/>
        <v>23.333333333333272</v>
      </c>
      <c r="B288">
        <f t="shared" si="34"/>
        <v>1262.4793132128207</v>
      </c>
      <c r="C288">
        <f t="shared" si="33"/>
        <v>16.854783758583867</v>
      </c>
      <c r="D288">
        <f t="shared" si="37"/>
        <v>2.4647155431651462</v>
      </c>
    </row>
    <row r="289" spans="1:4" x14ac:dyDescent="0.25">
      <c r="A289">
        <f t="shared" si="35"/>
        <v>23.416666666666604</v>
      </c>
      <c r="B289">
        <f t="shared" si="34"/>
        <v>1279.3340969714045</v>
      </c>
      <c r="C289">
        <f t="shared" si="33"/>
        <v>17.079804265910575</v>
      </c>
      <c r="D289">
        <f t="shared" si="37"/>
        <v>2.4647155431651462</v>
      </c>
    </row>
    <row r="290" spans="1:4" x14ac:dyDescent="0.25">
      <c r="A290">
        <f t="shared" si="35"/>
        <v>23.499999999999936</v>
      </c>
      <c r="B290">
        <f t="shared" si="34"/>
        <v>1296.413901237315</v>
      </c>
      <c r="C290">
        <f t="shared" si="33"/>
        <v>17.307828919089449</v>
      </c>
      <c r="D290">
        <f t="shared" si="37"/>
        <v>2.4647155431651462</v>
      </c>
    </row>
    <row r="291" spans="1:4" x14ac:dyDescent="0.25">
      <c r="A291">
        <f t="shared" si="35"/>
        <v>23.583333333333268</v>
      </c>
      <c r="B291">
        <f t="shared" si="34"/>
        <v>1313.7217301564044</v>
      </c>
      <c r="C291">
        <f t="shared" si="33"/>
        <v>17.53889782509745</v>
      </c>
      <c r="D291">
        <f t="shared" si="37"/>
        <v>2.4647155431651462</v>
      </c>
    </row>
    <row r="292" spans="1:4" x14ac:dyDescent="0.25">
      <c r="A292">
        <f t="shared" si="35"/>
        <v>23.6666666666666</v>
      </c>
      <c r="B292">
        <f t="shared" si="34"/>
        <v>1331.2606279815018</v>
      </c>
      <c r="C292">
        <f t="shared" si="33"/>
        <v>17.773051626361422</v>
      </c>
      <c r="D292">
        <f t="shared" si="37"/>
        <v>2.4647155431651462</v>
      </c>
    </row>
    <row r="293" spans="1:4" x14ac:dyDescent="0.25">
      <c r="A293">
        <f t="shared" si="35"/>
        <v>23.749999999999932</v>
      </c>
      <c r="B293">
        <f t="shared" si="34"/>
        <v>1349.0336796078632</v>
      </c>
      <c r="C293">
        <f t="shared" si="33"/>
        <v>18.010331507906674</v>
      </c>
      <c r="D293">
        <f t="shared" si="37"/>
        <v>2.4647155431651462</v>
      </c>
    </row>
    <row r="294" spans="1:4" x14ac:dyDescent="0.25">
      <c r="A294">
        <f t="shared" si="35"/>
        <v>23.833333333333265</v>
      </c>
      <c r="B294">
        <f t="shared" si="34"/>
        <v>1367.0440111157698</v>
      </c>
      <c r="C294">
        <f t="shared" si="33"/>
        <v>18.250779204600935</v>
      </c>
      <c r="D294">
        <f t="shared" si="37"/>
        <v>2.4647155431651462</v>
      </c>
    </row>
    <row r="295" spans="1:4" x14ac:dyDescent="0.25">
      <c r="A295">
        <f t="shared" si="35"/>
        <v>23.916666666666597</v>
      </c>
      <c r="B295">
        <f t="shared" si="34"/>
        <v>1385.2947903203708</v>
      </c>
      <c r="C295">
        <f t="shared" si="33"/>
        <v>18.494437008495069</v>
      </c>
      <c r="D295">
        <f t="shared" si="37"/>
        <v>2.4647155431651462</v>
      </c>
    </row>
    <row r="296" spans="1:4" x14ac:dyDescent="0.25">
      <c r="A296">
        <f t="shared" si="35"/>
        <v>23.999999999999929</v>
      </c>
      <c r="B296">
        <f t="shared" si="34"/>
        <v>1403.7892273288658</v>
      </c>
      <c r="C296">
        <f t="shared" si="33"/>
        <v>19.491001687312224</v>
      </c>
      <c r="D296">
        <f>D295*(1+$B$5)</f>
        <v>2.5633041648917523</v>
      </c>
    </row>
    <row r="297" spans="1:4" x14ac:dyDescent="0.25">
      <c r="A297">
        <f t="shared" si="35"/>
        <v>24.083333333333261</v>
      </c>
      <c r="B297">
        <f t="shared" si="34"/>
        <v>1423.2802290161781</v>
      </c>
      <c r="C297">
        <f t="shared" si="33"/>
        <v>19.761625752078473</v>
      </c>
      <c r="D297">
        <f>D296</f>
        <v>2.5633041648917523</v>
      </c>
    </row>
    <row r="298" spans="1:4" x14ac:dyDescent="0.25">
      <c r="A298">
        <f t="shared" si="35"/>
        <v>24.166666666666593</v>
      </c>
      <c r="B298">
        <f t="shared" si="34"/>
        <v>1443.0418547682566</v>
      </c>
      <c r="C298">
        <f t="shared" si="33"/>
        <v>20.036007314053204</v>
      </c>
      <c r="D298">
        <f t="shared" ref="D298:D307" si="38">D297</f>
        <v>2.5633041648917523</v>
      </c>
    </row>
    <row r="299" spans="1:4" x14ac:dyDescent="0.25">
      <c r="A299">
        <f t="shared" si="35"/>
        <v>24.249999999999925</v>
      </c>
      <c r="B299">
        <f t="shared" si="34"/>
        <v>1463.0778620823098</v>
      </c>
      <c r="C299">
        <f t="shared" si="33"/>
        <v>20.314198544447738</v>
      </c>
      <c r="D299">
        <f t="shared" si="38"/>
        <v>2.5633041648917523</v>
      </c>
    </row>
    <row r="300" spans="1:4" x14ac:dyDescent="0.25">
      <c r="A300">
        <f t="shared" si="35"/>
        <v>24.333333333333258</v>
      </c>
      <c r="B300">
        <f t="shared" si="34"/>
        <v>1483.3920606267575</v>
      </c>
      <c r="C300">
        <f t="shared" si="33"/>
        <v>20.596252338847933</v>
      </c>
      <c r="D300">
        <f t="shared" si="38"/>
        <v>2.5633041648917523</v>
      </c>
    </row>
    <row r="301" spans="1:4" x14ac:dyDescent="0.25">
      <c r="A301">
        <f t="shared" si="35"/>
        <v>24.41666666666659</v>
      </c>
      <c r="B301">
        <f t="shared" si="34"/>
        <v>1503.9883129656055</v>
      </c>
      <c r="C301">
        <f t="shared" si="33"/>
        <v>20.882222327271808</v>
      </c>
      <c r="D301">
        <f t="shared" si="38"/>
        <v>2.5633041648917523</v>
      </c>
    </row>
    <row r="302" spans="1:4" x14ac:dyDescent="0.25">
      <c r="A302">
        <f t="shared" si="35"/>
        <v>24.499999999999922</v>
      </c>
      <c r="B302">
        <f t="shared" si="34"/>
        <v>1524.8705352928773</v>
      </c>
      <c r="C302">
        <f t="shared" si="33"/>
        <v>21.172162884366802</v>
      </c>
      <c r="D302">
        <f t="shared" si="38"/>
        <v>2.5633041648917523</v>
      </c>
    </row>
    <row r="303" spans="1:4" x14ac:dyDescent="0.25">
      <c r="A303">
        <f t="shared" si="35"/>
        <v>24.583333333333254</v>
      </c>
      <c r="B303">
        <f t="shared" si="34"/>
        <v>1546.0426981772441</v>
      </c>
      <c r="C303">
        <f t="shared" si="33"/>
        <v>21.466129139748649</v>
      </c>
      <c r="D303">
        <f t="shared" si="38"/>
        <v>2.5633041648917523</v>
      </c>
    </row>
    <row r="304" spans="1:4" x14ac:dyDescent="0.25">
      <c r="A304">
        <f t="shared" si="35"/>
        <v>24.666666666666586</v>
      </c>
      <c r="B304">
        <f t="shared" si="34"/>
        <v>1567.5088273169927</v>
      </c>
      <c r="C304">
        <f t="shared" si="33"/>
        <v>21.764176988483765</v>
      </c>
      <c r="D304">
        <f t="shared" si="38"/>
        <v>2.5633041648917523</v>
      </c>
    </row>
    <row r="305" spans="1:4" x14ac:dyDescent="0.25">
      <c r="A305">
        <f t="shared" si="35"/>
        <v>24.749999999999918</v>
      </c>
      <c r="B305">
        <f t="shared" si="34"/>
        <v>1589.2730043054764</v>
      </c>
      <c r="C305">
        <f t="shared" si="33"/>
        <v>22.066363101717219</v>
      </c>
      <c r="D305">
        <f t="shared" si="38"/>
        <v>2.5633041648917523</v>
      </c>
    </row>
    <row r="306" spans="1:4" x14ac:dyDescent="0.25">
      <c r="A306">
        <f t="shared" si="35"/>
        <v>24.83333333333325</v>
      </c>
      <c r="B306">
        <f t="shared" si="34"/>
        <v>1611.3393674071935</v>
      </c>
      <c r="C306">
        <f t="shared" si="33"/>
        <v>22.372744937448211</v>
      </c>
      <c r="D306">
        <f t="shared" si="38"/>
        <v>2.5633041648917523</v>
      </c>
    </row>
    <row r="307" spans="1:4" x14ac:dyDescent="0.25">
      <c r="A307">
        <f t="shared" si="35"/>
        <v>24.916666666666583</v>
      </c>
      <c r="B307">
        <f t="shared" si="34"/>
        <v>1633.7121123446418</v>
      </c>
      <c r="C307">
        <f t="shared" si="33"/>
        <v>22.683380751455246</v>
      </c>
      <c r="D307">
        <f t="shared" si="38"/>
        <v>2.5633041648917523</v>
      </c>
    </row>
    <row r="308" spans="1:4" x14ac:dyDescent="0.25">
      <c r="A308">
        <f t="shared" si="35"/>
        <v>24.999999999999915</v>
      </c>
      <c r="B308">
        <f t="shared" si="34"/>
        <v>1656.395493096097</v>
      </c>
      <c r="C308">
        <f t="shared" si="33"/>
        <v>23.918262792707832</v>
      </c>
      <c r="D308">
        <f>D307*(1+$B$5)</f>
        <v>2.6658363314874225</v>
      </c>
    </row>
    <row r="309" spans="1:4" x14ac:dyDescent="0.25">
      <c r="A309">
        <f t="shared" si="35"/>
        <v>25.083333333333247</v>
      </c>
      <c r="B309">
        <f t="shared" si="34"/>
        <v>1680.3137558888047</v>
      </c>
      <c r="C309">
        <f t="shared" si="33"/>
        <v>24.26364123487668</v>
      </c>
      <c r="D309">
        <f>D308</f>
        <v>2.6658363314874225</v>
      </c>
    </row>
    <row r="310" spans="1:4" x14ac:dyDescent="0.25">
      <c r="A310">
        <f t="shared" si="35"/>
        <v>25.166666666666579</v>
      </c>
      <c r="B310">
        <f t="shared" si="34"/>
        <v>1704.5773971236815</v>
      </c>
      <c r="C310">
        <f t="shared" si="33"/>
        <v>24.614006923374781</v>
      </c>
      <c r="D310">
        <f t="shared" ref="D310:D319" si="39">D309</f>
        <v>2.6658363314874225</v>
      </c>
    </row>
    <row r="311" spans="1:4" x14ac:dyDescent="0.25">
      <c r="A311">
        <f t="shared" si="35"/>
        <v>25.249999999999911</v>
      </c>
      <c r="B311">
        <f t="shared" si="34"/>
        <v>1729.1914040470563</v>
      </c>
      <c r="C311">
        <f t="shared" si="33"/>
        <v>24.969431873773779</v>
      </c>
      <c r="D311">
        <f t="shared" si="39"/>
        <v>2.6658363314874225</v>
      </c>
    </row>
    <row r="312" spans="1:4" x14ac:dyDescent="0.25">
      <c r="A312">
        <f t="shared" si="35"/>
        <v>25.333333333333243</v>
      </c>
      <c r="B312">
        <f t="shared" si="34"/>
        <v>1754.1608359208301</v>
      </c>
      <c r="C312">
        <f t="shared" si="33"/>
        <v>25.329989141546356</v>
      </c>
      <c r="D312">
        <f t="shared" si="39"/>
        <v>2.6658363314874225</v>
      </c>
    </row>
    <row r="313" spans="1:4" x14ac:dyDescent="0.25">
      <c r="A313">
        <f t="shared" si="35"/>
        <v>25.416666666666575</v>
      </c>
      <c r="B313">
        <f t="shared" si="34"/>
        <v>1779.4908250623764</v>
      </c>
      <c r="C313">
        <f t="shared" si="33"/>
        <v>25.695752837082317</v>
      </c>
      <c r="D313">
        <f t="shared" si="39"/>
        <v>2.6658363314874225</v>
      </c>
    </row>
    <row r="314" spans="1:4" x14ac:dyDescent="0.25">
      <c r="A314">
        <f t="shared" si="35"/>
        <v>25.499999999999908</v>
      </c>
      <c r="B314">
        <f t="shared" si="34"/>
        <v>1805.1865778994588</v>
      </c>
      <c r="C314">
        <f t="shared" si="33"/>
        <v>26.066798140921566</v>
      </c>
      <c r="D314">
        <f t="shared" si="39"/>
        <v>2.6658363314874225</v>
      </c>
    </row>
    <row r="315" spans="1:4" x14ac:dyDescent="0.25">
      <c r="A315">
        <f t="shared" si="35"/>
        <v>25.58333333333324</v>
      </c>
      <c r="B315">
        <f t="shared" si="34"/>
        <v>1831.2533760403803</v>
      </c>
      <c r="C315">
        <f t="shared" si="33"/>
        <v>26.443201319206995</v>
      </c>
      <c r="D315">
        <f t="shared" si="39"/>
        <v>2.6658363314874225</v>
      </c>
    </row>
    <row r="316" spans="1:4" x14ac:dyDescent="0.25">
      <c r="A316">
        <f t="shared" si="35"/>
        <v>25.666666666666572</v>
      </c>
      <c r="B316">
        <f t="shared" si="34"/>
        <v>1857.6965773595873</v>
      </c>
      <c r="C316">
        <f t="shared" si="33"/>
        <v>26.825039739360541</v>
      </c>
      <c r="D316">
        <f t="shared" si="39"/>
        <v>2.6658363314874225</v>
      </c>
    </row>
    <row r="317" spans="1:4" x14ac:dyDescent="0.25">
      <c r="A317">
        <f t="shared" si="35"/>
        <v>25.749999999999904</v>
      </c>
      <c r="B317">
        <f t="shared" si="34"/>
        <v>1884.5216170989479</v>
      </c>
      <c r="C317">
        <f t="shared" si="33"/>
        <v>27.212391885985607</v>
      </c>
      <c r="D317">
        <f t="shared" si="39"/>
        <v>2.6658363314874225</v>
      </c>
    </row>
    <row r="318" spans="1:4" x14ac:dyDescent="0.25">
      <c r="A318">
        <f t="shared" si="35"/>
        <v>25.833333333333236</v>
      </c>
      <c r="B318">
        <f t="shared" si="34"/>
        <v>1911.7340089849336</v>
      </c>
      <c r="C318">
        <f t="shared" si="33"/>
        <v>27.605337376999085</v>
      </c>
      <c r="D318">
        <f t="shared" si="39"/>
        <v>2.6658363314874225</v>
      </c>
    </row>
    <row r="319" spans="1:4" x14ac:dyDescent="0.25">
      <c r="A319">
        <f t="shared" si="35"/>
        <v>25.916666666666568</v>
      </c>
      <c r="B319">
        <f t="shared" si="34"/>
        <v>1939.3393463619327</v>
      </c>
      <c r="C319">
        <f t="shared" si="33"/>
        <v>28.003956979996349</v>
      </c>
      <c r="D319">
        <f t="shared" si="39"/>
        <v>2.6658363314874225</v>
      </c>
    </row>
    <row r="320" spans="1:4" x14ac:dyDescent="0.25">
      <c r="A320">
        <f t="shared" si="35"/>
        <v>25.999999999999901</v>
      </c>
      <c r="B320">
        <f t="shared" si="34"/>
        <v>1967.343303341929</v>
      </c>
      <c r="C320">
        <f t="shared" si="33"/>
        <v>29.544665934006662</v>
      </c>
      <c r="D320">
        <f>D319*(1+$B$5)</f>
        <v>2.7724697847469195</v>
      </c>
    </row>
    <row r="321" spans="1:4" x14ac:dyDescent="0.25">
      <c r="A321">
        <f t="shared" si="35"/>
        <v>26.083333333333233</v>
      </c>
      <c r="B321">
        <f t="shared" si="34"/>
        <v>1996.8879692759356</v>
      </c>
      <c r="C321">
        <f t="shared" si="33"/>
        <v>29.988354274353402</v>
      </c>
      <c r="D321">
        <f>D320</f>
        <v>2.7724697847469195</v>
      </c>
    </row>
    <row r="322" spans="1:4" x14ac:dyDescent="0.25">
      <c r="A322">
        <f t="shared" si="35"/>
        <v>26.166666666666565</v>
      </c>
      <c r="B322">
        <f t="shared" si="34"/>
        <v>2026.876323550289</v>
      </c>
      <c r="C322">
        <f t="shared" si="33"/>
        <v>30.438705724169694</v>
      </c>
      <c r="D322">
        <f t="shared" ref="D322:D331" si="40">D321</f>
        <v>2.7724697847469195</v>
      </c>
    </row>
    <row r="323" spans="1:4" x14ac:dyDescent="0.25">
      <c r="A323">
        <f t="shared" si="35"/>
        <v>26.249999999999897</v>
      </c>
      <c r="B323">
        <f t="shared" si="34"/>
        <v>2057.3150292744585</v>
      </c>
      <c r="C323">
        <f t="shared" si="33"/>
        <v>30.895820346999621</v>
      </c>
      <c r="D323">
        <f t="shared" si="40"/>
        <v>2.7724697847469195</v>
      </c>
    </row>
    <row r="324" spans="1:4" x14ac:dyDescent="0.25">
      <c r="A324">
        <f t="shared" si="35"/>
        <v>26.333333333333229</v>
      </c>
      <c r="B324">
        <f t="shared" si="34"/>
        <v>2088.2108496214582</v>
      </c>
      <c r="C324">
        <f t="shared" si="33"/>
        <v>31.359799709096009</v>
      </c>
      <c r="D324">
        <f t="shared" si="40"/>
        <v>2.7724697847469195</v>
      </c>
    </row>
    <row r="325" spans="1:4" x14ac:dyDescent="0.25">
      <c r="A325">
        <f t="shared" si="35"/>
        <v>26.416666666666561</v>
      </c>
      <c r="B325">
        <f t="shared" si="34"/>
        <v>2119.5706493305543</v>
      </c>
      <c r="C325">
        <f t="shared" si="33"/>
        <v>31.830746901987421</v>
      </c>
      <c r="D325">
        <f t="shared" si="40"/>
        <v>2.7724697847469195</v>
      </c>
    </row>
    <row r="326" spans="1:4" x14ac:dyDescent="0.25">
      <c r="A326">
        <f t="shared" si="35"/>
        <v>26.499999999999893</v>
      </c>
      <c r="B326">
        <f t="shared" si="34"/>
        <v>2151.4013962325416</v>
      </c>
      <c r="C326">
        <f t="shared" si="33"/>
        <v>32.308766565384055</v>
      </c>
      <c r="D326">
        <f t="shared" si="40"/>
        <v>2.7724697847469195</v>
      </c>
    </row>
    <row r="327" spans="1:4" x14ac:dyDescent="0.25">
      <c r="A327">
        <f t="shared" si="35"/>
        <v>26.583333333333226</v>
      </c>
      <c r="B327">
        <f t="shared" si="34"/>
        <v>2183.7101627979255</v>
      </c>
      <c r="C327">
        <f t="shared" si="33"/>
        <v>32.793964910427633</v>
      </c>
      <c r="D327">
        <f t="shared" si="40"/>
        <v>2.7724697847469195</v>
      </c>
    </row>
    <row r="328" spans="1:4" x14ac:dyDescent="0.25">
      <c r="A328">
        <f t="shared" si="35"/>
        <v>26.666666666666558</v>
      </c>
      <c r="B328">
        <f t="shared" si="34"/>
        <v>2216.5041277083533</v>
      </c>
      <c r="C328">
        <f t="shared" si="33"/>
        <v>33.286449743290447</v>
      </c>
      <c r="D328">
        <f t="shared" si="40"/>
        <v>2.7724697847469195</v>
      </c>
    </row>
    <row r="329" spans="1:4" x14ac:dyDescent="0.25">
      <c r="A329">
        <f t="shared" si="35"/>
        <v>26.74999999999989</v>
      </c>
      <c r="B329">
        <f t="shared" si="34"/>
        <v>2249.7905774516439</v>
      </c>
      <c r="C329">
        <f t="shared" ref="C329:C392" si="41">B329*(($B$4)*D329/12)</f>
        <v>33.786330489128787</v>
      </c>
      <c r="D329">
        <f t="shared" si="40"/>
        <v>2.7724697847469195</v>
      </c>
    </row>
    <row r="330" spans="1:4" x14ac:dyDescent="0.25">
      <c r="A330">
        <f t="shared" si="35"/>
        <v>26.833333333333222</v>
      </c>
      <c r="B330">
        <f t="shared" ref="B330:B393" si="42">B329+C329</f>
        <v>2283.5769079407728</v>
      </c>
      <c r="C330">
        <f t="shared" si="41"/>
        <v>34.293718216396115</v>
      </c>
      <c r="D330">
        <f t="shared" si="40"/>
        <v>2.7724697847469195</v>
      </c>
    </row>
    <row r="331" spans="1:4" x14ac:dyDescent="0.25">
      <c r="A331">
        <f t="shared" ref="A331:A394" si="43">A330+(1/12)</f>
        <v>26.916666666666554</v>
      </c>
      <c r="B331">
        <f t="shared" si="42"/>
        <v>2317.8706261571688</v>
      </c>
      <c r="C331">
        <f t="shared" si="41"/>
        <v>34.808725661521358</v>
      </c>
      <c r="D331">
        <f t="shared" si="40"/>
        <v>2.7724697847469195</v>
      </c>
    </row>
    <row r="332" spans="1:4" x14ac:dyDescent="0.25">
      <c r="A332">
        <f t="shared" si="43"/>
        <v>26.999999999999886</v>
      </c>
      <c r="B332">
        <f t="shared" si="42"/>
        <v>2352.6793518186901</v>
      </c>
      <c r="C332">
        <f t="shared" si="41"/>
        <v>36.744725944116112</v>
      </c>
      <c r="D332">
        <f>D331*(1+$B$5)</f>
        <v>2.8833685761367964</v>
      </c>
    </row>
    <row r="333" spans="1:4" x14ac:dyDescent="0.25">
      <c r="A333">
        <f t="shared" si="43"/>
        <v>27.083333333333218</v>
      </c>
      <c r="B333">
        <f t="shared" si="42"/>
        <v>2389.4240777628061</v>
      </c>
      <c r="C333">
        <f t="shared" si="41"/>
        <v>37.318614129798739</v>
      </c>
      <c r="D333">
        <f>D332</f>
        <v>2.8833685761367964</v>
      </c>
    </row>
    <row r="334" spans="1:4" x14ac:dyDescent="0.25">
      <c r="A334">
        <f t="shared" si="43"/>
        <v>27.166666666666551</v>
      </c>
      <c r="B334">
        <f t="shared" si="42"/>
        <v>2426.7426918926049</v>
      </c>
      <c r="C334">
        <f t="shared" si="41"/>
        <v>37.901465442602436</v>
      </c>
      <c r="D334">
        <f t="shared" ref="D334:D343" si="44">D333</f>
        <v>2.8833685761367964</v>
      </c>
    </row>
    <row r="335" spans="1:4" x14ac:dyDescent="0.25">
      <c r="A335">
        <f t="shared" si="43"/>
        <v>27.249999999999883</v>
      </c>
      <c r="B335">
        <f t="shared" si="42"/>
        <v>2464.6441573352072</v>
      </c>
      <c r="C335">
        <f t="shared" si="41"/>
        <v>38.493419870855575</v>
      </c>
      <c r="D335">
        <f t="shared" si="44"/>
        <v>2.8833685761367964</v>
      </c>
    </row>
    <row r="336" spans="1:4" x14ac:dyDescent="0.25">
      <c r="A336">
        <f t="shared" si="43"/>
        <v>27.333333333333215</v>
      </c>
      <c r="B336">
        <f t="shared" si="42"/>
        <v>2503.1375772060628</v>
      </c>
      <c r="C336">
        <f t="shared" si="41"/>
        <v>39.094619589258762</v>
      </c>
      <c r="D336">
        <f t="shared" si="44"/>
        <v>2.8833685761367964</v>
      </c>
    </row>
    <row r="337" spans="1:4" x14ac:dyDescent="0.25">
      <c r="A337">
        <f t="shared" si="43"/>
        <v>27.416666666666547</v>
      </c>
      <c r="B337">
        <f t="shared" si="42"/>
        <v>2542.2321967953217</v>
      </c>
      <c r="C337">
        <f t="shared" si="41"/>
        <v>39.705208993032088</v>
      </c>
      <c r="D337">
        <f t="shared" si="44"/>
        <v>2.8833685761367964</v>
      </c>
    </row>
    <row r="338" spans="1:4" x14ac:dyDescent="0.25">
      <c r="A338">
        <f t="shared" si="43"/>
        <v>27.499999999999879</v>
      </c>
      <c r="B338">
        <f t="shared" si="42"/>
        <v>2581.9374057883538</v>
      </c>
      <c r="C338">
        <f t="shared" si="41"/>
        <v>40.325334732595792</v>
      </c>
      <c r="D338">
        <f t="shared" si="44"/>
        <v>2.8833685761367964</v>
      </c>
    </row>
    <row r="339" spans="1:4" x14ac:dyDescent="0.25">
      <c r="A339">
        <f t="shared" si="43"/>
        <v>27.583333333333211</v>
      </c>
      <c r="B339">
        <f t="shared" si="42"/>
        <v>2622.2627405209496</v>
      </c>
      <c r="C339">
        <f t="shared" si="41"/>
        <v>40.955145748792518</v>
      </c>
      <c r="D339">
        <f t="shared" si="44"/>
        <v>2.8833685761367964</v>
      </c>
    </row>
    <row r="340" spans="1:4" x14ac:dyDescent="0.25">
      <c r="A340">
        <f t="shared" si="43"/>
        <v>27.666666666666544</v>
      </c>
      <c r="B340">
        <f t="shared" si="42"/>
        <v>2663.2178862697419</v>
      </c>
      <c r="C340">
        <f t="shared" si="41"/>
        <v>41.594793308659689</v>
      </c>
      <c r="D340">
        <f t="shared" si="44"/>
        <v>2.8833685761367964</v>
      </c>
    </row>
    <row r="341" spans="1:4" x14ac:dyDescent="0.25">
      <c r="A341">
        <f t="shared" si="43"/>
        <v>27.749999999999876</v>
      </c>
      <c r="B341">
        <f t="shared" si="42"/>
        <v>2704.8126795784015</v>
      </c>
      <c r="C341">
        <f t="shared" si="41"/>
        <v>42.244431041760613</v>
      </c>
      <c r="D341">
        <f t="shared" si="44"/>
        <v>2.8833685761367964</v>
      </c>
    </row>
    <row r="342" spans="1:4" x14ac:dyDescent="0.25">
      <c r="A342">
        <f t="shared" si="43"/>
        <v>27.833333333333208</v>
      </c>
      <c r="B342">
        <f t="shared" si="42"/>
        <v>2747.0571106201619</v>
      </c>
      <c r="C342">
        <f t="shared" si="41"/>
        <v>42.904214977082979</v>
      </c>
      <c r="D342">
        <f t="shared" si="44"/>
        <v>2.8833685761367964</v>
      </c>
    </row>
    <row r="343" spans="1:4" x14ac:dyDescent="0.25">
      <c r="A343">
        <f t="shared" si="43"/>
        <v>27.91666666666654</v>
      </c>
      <c r="B343">
        <f t="shared" si="42"/>
        <v>2789.9613255972449</v>
      </c>
      <c r="C343">
        <f t="shared" si="41"/>
        <v>43.574303580513643</v>
      </c>
      <c r="D343">
        <f t="shared" si="44"/>
        <v>2.8833685761367964</v>
      </c>
    </row>
    <row r="344" spans="1:4" x14ac:dyDescent="0.25">
      <c r="A344">
        <f t="shared" si="43"/>
        <v>27.999999999999872</v>
      </c>
      <c r="B344">
        <f t="shared" si="42"/>
        <v>2833.5356291777584</v>
      </c>
      <c r="C344">
        <f t="shared" si="41"/>
        <v>46.025052104614709</v>
      </c>
      <c r="D344">
        <f>D343*(1+$B$5)</f>
        <v>2.9987033191822685</v>
      </c>
    </row>
    <row r="345" spans="1:4" x14ac:dyDescent="0.25">
      <c r="A345">
        <f t="shared" si="43"/>
        <v>28.083333333333204</v>
      </c>
      <c r="B345">
        <f t="shared" si="42"/>
        <v>2879.560681282373</v>
      </c>
      <c r="C345">
        <f t="shared" si="41"/>
        <v>46.77263593571945</v>
      </c>
      <c r="D345">
        <f>D344</f>
        <v>2.9987033191822685</v>
      </c>
    </row>
    <row r="346" spans="1:4" x14ac:dyDescent="0.25">
      <c r="A346">
        <f t="shared" si="43"/>
        <v>28.166666666666536</v>
      </c>
      <c r="B346">
        <f t="shared" si="42"/>
        <v>2926.3333172180924</v>
      </c>
      <c r="C346">
        <f t="shared" si="41"/>
        <v>47.532362753284239</v>
      </c>
      <c r="D346">
        <f t="shared" ref="D346:D355" si="45">D345</f>
        <v>2.9987033191822685</v>
      </c>
    </row>
    <row r="347" spans="1:4" x14ac:dyDescent="0.25">
      <c r="A347">
        <f t="shared" si="43"/>
        <v>28.249999999999869</v>
      </c>
      <c r="B347">
        <f t="shared" si="42"/>
        <v>2973.8656799713767</v>
      </c>
      <c r="C347">
        <f t="shared" si="41"/>
        <v>48.304429795550504</v>
      </c>
      <c r="D347">
        <f t="shared" si="45"/>
        <v>2.9987033191822685</v>
      </c>
    </row>
    <row r="348" spans="1:4" x14ac:dyDescent="0.25">
      <c r="A348">
        <f t="shared" si="43"/>
        <v>28.333333333333201</v>
      </c>
      <c r="B348">
        <f t="shared" si="42"/>
        <v>3022.1701097669275</v>
      </c>
      <c r="C348">
        <f t="shared" si="41"/>
        <v>49.089037504495764</v>
      </c>
      <c r="D348">
        <f t="shared" si="45"/>
        <v>2.9987033191822685</v>
      </c>
    </row>
    <row r="349" spans="1:4" x14ac:dyDescent="0.25">
      <c r="A349">
        <f t="shared" si="43"/>
        <v>28.416666666666533</v>
      </c>
      <c r="B349">
        <f t="shared" si="42"/>
        <v>3071.259147271423</v>
      </c>
      <c r="C349">
        <f t="shared" si="41"/>
        <v>49.886389577871817</v>
      </c>
      <c r="D349">
        <f t="shared" si="45"/>
        <v>2.9987033191822685</v>
      </c>
    </row>
    <row r="350" spans="1:4" x14ac:dyDescent="0.25">
      <c r="A350">
        <f t="shared" si="43"/>
        <v>28.499999999999865</v>
      </c>
      <c r="B350">
        <f t="shared" si="42"/>
        <v>3121.1455368492948</v>
      </c>
      <c r="C350">
        <f t="shared" si="41"/>
        <v>50.696693022088226</v>
      </c>
      <c r="D350">
        <f t="shared" si="45"/>
        <v>2.9987033191822685</v>
      </c>
    </row>
    <row r="351" spans="1:4" x14ac:dyDescent="0.25">
      <c r="A351">
        <f t="shared" si="43"/>
        <v>28.583333333333197</v>
      </c>
      <c r="B351">
        <f t="shared" si="42"/>
        <v>3171.8422298713831</v>
      </c>
      <c r="C351">
        <f t="shared" si="41"/>
        <v>51.520158205954772</v>
      </c>
      <c r="D351">
        <f t="shared" si="45"/>
        <v>2.9987033191822685</v>
      </c>
    </row>
    <row r="352" spans="1:4" x14ac:dyDescent="0.25">
      <c r="A352">
        <f t="shared" si="43"/>
        <v>28.666666666666529</v>
      </c>
      <c r="B352">
        <f t="shared" si="42"/>
        <v>3223.362388077338</v>
      </c>
      <c r="C352">
        <f t="shared" si="41"/>
        <v>52.356998915296813</v>
      </c>
      <c r="D352">
        <f t="shared" si="45"/>
        <v>2.9987033191822685</v>
      </c>
    </row>
    <row r="353" spans="1:4" x14ac:dyDescent="0.25">
      <c r="A353">
        <f t="shared" si="43"/>
        <v>28.749999999999861</v>
      </c>
      <c r="B353">
        <f t="shared" si="42"/>
        <v>3275.719386992635</v>
      </c>
      <c r="C353">
        <f t="shared" si="41"/>
        <v>53.207432408457819</v>
      </c>
      <c r="D353">
        <f t="shared" si="45"/>
        <v>2.9987033191822685</v>
      </c>
    </row>
    <row r="354" spans="1:4" x14ac:dyDescent="0.25">
      <c r="A354">
        <f t="shared" si="43"/>
        <v>28.833333333333194</v>
      </c>
      <c r="B354">
        <f t="shared" si="42"/>
        <v>3328.9268194010929</v>
      </c>
      <c r="C354">
        <f t="shared" si="41"/>
        <v>54.071679472703366</v>
      </c>
      <c r="D354">
        <f t="shared" si="45"/>
        <v>2.9987033191822685</v>
      </c>
    </row>
    <row r="355" spans="1:4" x14ac:dyDescent="0.25">
      <c r="A355">
        <f t="shared" si="43"/>
        <v>28.916666666666526</v>
      </c>
      <c r="B355">
        <f t="shared" si="42"/>
        <v>3382.9984988737961</v>
      </c>
      <c r="C355">
        <f t="shared" si="41"/>
        <v>54.949964481541372</v>
      </c>
      <c r="D355">
        <f t="shared" si="45"/>
        <v>2.9987033191822685</v>
      </c>
    </row>
    <row r="356" spans="1:4" x14ac:dyDescent="0.25">
      <c r="A356">
        <f t="shared" si="43"/>
        <v>28.999999999999858</v>
      </c>
      <c r="B356">
        <f t="shared" si="42"/>
        <v>3437.9484633553375</v>
      </c>
      <c r="C356">
        <f t="shared" si="41"/>
        <v>58.076216071092261</v>
      </c>
      <c r="D356">
        <f>D355*(1+$B$5)</f>
        <v>3.1186514519495594</v>
      </c>
    </row>
    <row r="357" spans="1:4" x14ac:dyDescent="0.25">
      <c r="A357">
        <f t="shared" si="43"/>
        <v>29.08333333333319</v>
      </c>
      <c r="B357">
        <f t="shared" si="42"/>
        <v>3496.0246794264299</v>
      </c>
      <c r="C357">
        <f t="shared" si="41"/>
        <v>59.057279897117276</v>
      </c>
      <c r="D357">
        <f>D356</f>
        <v>3.1186514519495594</v>
      </c>
    </row>
    <row r="358" spans="1:4" x14ac:dyDescent="0.25">
      <c r="A358">
        <f t="shared" si="43"/>
        <v>29.166666666666522</v>
      </c>
      <c r="B358">
        <f t="shared" si="42"/>
        <v>3555.0819593235474</v>
      </c>
      <c r="C358">
        <f t="shared" si="41"/>
        <v>60.054916535488687</v>
      </c>
      <c r="D358">
        <f t="shared" ref="D358:D367" si="46">D357</f>
        <v>3.1186514519495594</v>
      </c>
    </row>
    <row r="359" spans="1:4" x14ac:dyDescent="0.25">
      <c r="A359">
        <f t="shared" si="43"/>
        <v>29.249999999999854</v>
      </c>
      <c r="B359">
        <f t="shared" si="42"/>
        <v>3615.1368758590361</v>
      </c>
      <c r="C359">
        <f t="shared" si="41"/>
        <v>61.069405945676792</v>
      </c>
      <c r="D359">
        <f t="shared" si="46"/>
        <v>3.1186514519495594</v>
      </c>
    </row>
    <row r="360" spans="1:4" x14ac:dyDescent="0.25">
      <c r="A360">
        <f t="shared" si="43"/>
        <v>29.333333333333186</v>
      </c>
      <c r="B360">
        <f t="shared" si="42"/>
        <v>3676.2062818047129</v>
      </c>
      <c r="C360">
        <f t="shared" si="41"/>
        <v>62.101032816421942</v>
      </c>
      <c r="D360">
        <f t="shared" si="46"/>
        <v>3.1186514519495594</v>
      </c>
    </row>
    <row r="361" spans="1:4" x14ac:dyDescent="0.25">
      <c r="A361">
        <f t="shared" si="43"/>
        <v>29.416666666666519</v>
      </c>
      <c r="B361">
        <f t="shared" si="42"/>
        <v>3738.307314621135</v>
      </c>
      <c r="C361">
        <f t="shared" si="41"/>
        <v>63.150086645624661</v>
      </c>
      <c r="D361">
        <f t="shared" si="46"/>
        <v>3.1186514519495594</v>
      </c>
    </row>
    <row r="362" spans="1:4" x14ac:dyDescent="0.25">
      <c r="A362">
        <f t="shared" si="43"/>
        <v>29.499999999999851</v>
      </c>
      <c r="B362">
        <f t="shared" si="42"/>
        <v>3801.4574012667595</v>
      </c>
      <c r="C362">
        <f t="shared" si="41"/>
        <v>64.216861821585297</v>
      </c>
      <c r="D362">
        <f t="shared" si="46"/>
        <v>3.1186514519495594</v>
      </c>
    </row>
    <row r="363" spans="1:4" x14ac:dyDescent="0.25">
      <c r="A363">
        <f t="shared" si="43"/>
        <v>29.583333333333183</v>
      </c>
      <c r="B363">
        <f t="shared" si="42"/>
        <v>3865.6742630883446</v>
      </c>
      <c r="C363">
        <f t="shared" si="41"/>
        <v>65.30165770561608</v>
      </c>
      <c r="D363">
        <f t="shared" si="46"/>
        <v>3.1186514519495594</v>
      </c>
    </row>
    <row r="364" spans="1:4" x14ac:dyDescent="0.25">
      <c r="A364">
        <f t="shared" si="43"/>
        <v>29.666666666666515</v>
      </c>
      <c r="B364">
        <f t="shared" si="42"/>
        <v>3930.9759207939605</v>
      </c>
      <c r="C364">
        <f t="shared" si="41"/>
        <v>66.404778716048725</v>
      </c>
      <c r="D364">
        <f t="shared" si="46"/>
        <v>3.1186514519495594</v>
      </c>
    </row>
    <row r="365" spans="1:4" x14ac:dyDescent="0.25">
      <c r="A365">
        <f t="shared" si="43"/>
        <v>29.749999999999847</v>
      </c>
      <c r="B365">
        <f t="shared" si="42"/>
        <v>3997.3806995100094</v>
      </c>
      <c r="C365">
        <f t="shared" si="41"/>
        <v>67.526534413661025</v>
      </c>
      <c r="D365">
        <f t="shared" si="46"/>
        <v>3.1186514519495594</v>
      </c>
    </row>
    <row r="366" spans="1:4" x14ac:dyDescent="0.25">
      <c r="A366">
        <f t="shared" si="43"/>
        <v>29.833333333333179</v>
      </c>
      <c r="B366">
        <f t="shared" si="42"/>
        <v>4064.9072339236704</v>
      </c>
      <c r="C366">
        <f t="shared" si="41"/>
        <v>68.667239588546735</v>
      </c>
      <c r="D366">
        <f t="shared" si="46"/>
        <v>3.1186514519495594</v>
      </c>
    </row>
    <row r="367" spans="1:4" x14ac:dyDescent="0.25">
      <c r="A367">
        <f t="shared" si="43"/>
        <v>29.916666666666512</v>
      </c>
      <c r="B367">
        <f t="shared" si="42"/>
        <v>4133.5744735122171</v>
      </c>
      <c r="C367">
        <f t="shared" si="41"/>
        <v>69.82721434845277</v>
      </c>
      <c r="D367">
        <f t="shared" si="46"/>
        <v>3.1186514519495594</v>
      </c>
    </row>
    <row r="368" spans="1:4" x14ac:dyDescent="0.25">
      <c r="A368">
        <f t="shared" si="43"/>
        <v>29.999999999999844</v>
      </c>
      <c r="B368">
        <f t="shared" si="42"/>
        <v>4203.4016878606699</v>
      </c>
      <c r="C368">
        <f t="shared" si="41"/>
        <v>73.847055576953025</v>
      </c>
      <c r="D368">
        <f>D367*(1+$B$5)</f>
        <v>3.2433975100275418</v>
      </c>
    </row>
    <row r="369" spans="1:4" x14ac:dyDescent="0.25">
      <c r="A369">
        <f t="shared" si="43"/>
        <v>30.083333333333176</v>
      </c>
      <c r="B369">
        <f t="shared" si="42"/>
        <v>4277.2487434376226</v>
      </c>
      <c r="C369">
        <f t="shared" si="41"/>
        <v>75.144430422934263</v>
      </c>
      <c r="D369">
        <f>D368</f>
        <v>3.2433975100275418</v>
      </c>
    </row>
    <row r="370" spans="1:4" x14ac:dyDescent="0.25">
      <c r="A370">
        <f t="shared" si="43"/>
        <v>30.166666666666508</v>
      </c>
      <c r="B370">
        <f t="shared" si="42"/>
        <v>4352.393173860557</v>
      </c>
      <c r="C370">
        <f t="shared" si="41"/>
        <v>76.464598073284435</v>
      </c>
      <c r="D370">
        <f t="shared" ref="D370:D379" si="47">D369</f>
        <v>3.2433975100275418</v>
      </c>
    </row>
    <row r="371" spans="1:4" x14ac:dyDescent="0.25">
      <c r="A371">
        <f t="shared" si="43"/>
        <v>30.24999999999984</v>
      </c>
      <c r="B371">
        <f t="shared" si="42"/>
        <v>4428.8577719338418</v>
      </c>
      <c r="C371">
        <f t="shared" si="41"/>
        <v>77.807958961180233</v>
      </c>
      <c r="D371">
        <f t="shared" si="47"/>
        <v>3.2433975100275418</v>
      </c>
    </row>
    <row r="372" spans="1:4" x14ac:dyDescent="0.25">
      <c r="A372">
        <f t="shared" si="43"/>
        <v>30.333333333333172</v>
      </c>
      <c r="B372">
        <f t="shared" si="42"/>
        <v>4506.6657308950216</v>
      </c>
      <c r="C372">
        <f t="shared" si="41"/>
        <v>79.174920554769898</v>
      </c>
      <c r="D372">
        <f t="shared" si="47"/>
        <v>3.2433975100275418</v>
      </c>
    </row>
    <row r="373" spans="1:4" x14ac:dyDescent="0.25">
      <c r="A373">
        <f t="shared" si="43"/>
        <v>30.416666666666504</v>
      </c>
      <c r="B373">
        <f t="shared" si="42"/>
        <v>4585.8406514497919</v>
      </c>
      <c r="C373">
        <f t="shared" si="41"/>
        <v>80.565897480766409</v>
      </c>
      <c r="D373">
        <f t="shared" si="47"/>
        <v>3.2433975100275418</v>
      </c>
    </row>
    <row r="374" spans="1:4" x14ac:dyDescent="0.25">
      <c r="A374">
        <f t="shared" si="43"/>
        <v>30.499999999999837</v>
      </c>
      <c r="B374">
        <f t="shared" si="42"/>
        <v>4666.4065489305585</v>
      </c>
      <c r="C374">
        <f t="shared" si="41"/>
        <v>81.98131165021195</v>
      </c>
      <c r="D374">
        <f t="shared" si="47"/>
        <v>3.2433975100275418</v>
      </c>
    </row>
    <row r="375" spans="1:4" x14ac:dyDescent="0.25">
      <c r="A375">
        <f t="shared" si="43"/>
        <v>30.583333333333169</v>
      </c>
      <c r="B375">
        <f t="shared" si="42"/>
        <v>4748.3878605807704</v>
      </c>
      <c r="C375">
        <f t="shared" si="41"/>
        <v>83.421592386452005</v>
      </c>
      <c r="D375">
        <f t="shared" si="47"/>
        <v>3.2433975100275418</v>
      </c>
    </row>
    <row r="376" spans="1:4" x14ac:dyDescent="0.25">
      <c r="A376">
        <f t="shared" si="43"/>
        <v>30.666666666666501</v>
      </c>
      <c r="B376">
        <f t="shared" si="42"/>
        <v>4831.8094529672226</v>
      </c>
      <c r="C376">
        <f t="shared" si="41"/>
        <v>84.887176555357755</v>
      </c>
      <c r="D376">
        <f t="shared" si="47"/>
        <v>3.2433975100275418</v>
      </c>
    </row>
    <row r="377" spans="1:4" x14ac:dyDescent="0.25">
      <c r="A377">
        <f t="shared" si="43"/>
        <v>30.749999999999833</v>
      </c>
      <c r="B377">
        <f t="shared" si="42"/>
        <v>4916.6966295225802</v>
      </c>
      <c r="C377">
        <f t="shared" si="41"/>
        <v>86.37850869783604</v>
      </c>
      <c r="D377">
        <f t="shared" si="47"/>
        <v>3.2433975100275418</v>
      </c>
    </row>
    <row r="378" spans="1:4" x14ac:dyDescent="0.25">
      <c r="A378">
        <f t="shared" si="43"/>
        <v>30.833333333333165</v>
      </c>
      <c r="B378">
        <f t="shared" si="42"/>
        <v>5003.0751382204162</v>
      </c>
      <c r="C378">
        <f t="shared" si="41"/>
        <v>87.896041164667665</v>
      </c>
      <c r="D378">
        <f t="shared" si="47"/>
        <v>3.2433975100275418</v>
      </c>
    </row>
    <row r="379" spans="1:4" x14ac:dyDescent="0.25">
      <c r="A379">
        <f t="shared" si="43"/>
        <v>30.916666666666497</v>
      </c>
      <c r="B379">
        <f t="shared" si="42"/>
        <v>5090.9711793850838</v>
      </c>
      <c r="C379">
        <f t="shared" si="41"/>
        <v>89.440234253714294</v>
      </c>
      <c r="D379">
        <f t="shared" si="47"/>
        <v>3.2433975100275418</v>
      </c>
    </row>
    <row r="380" spans="1:4" x14ac:dyDescent="0.25">
      <c r="A380">
        <f t="shared" si="43"/>
        <v>30.999999999999829</v>
      </c>
      <c r="B380">
        <f t="shared" si="42"/>
        <v>5180.411413638798</v>
      </c>
      <c r="C380">
        <f t="shared" si="41"/>
        <v>94.652018603517419</v>
      </c>
      <c r="D380">
        <f>D379*(1+$B$5)</f>
        <v>3.3731334104286437</v>
      </c>
    </row>
    <row r="381" spans="1:4" x14ac:dyDescent="0.25">
      <c r="A381">
        <f t="shared" si="43"/>
        <v>31.083333333333162</v>
      </c>
      <c r="B381">
        <f t="shared" si="42"/>
        <v>5275.0634322423157</v>
      </c>
      <c r="C381">
        <f t="shared" si="41"/>
        <v>96.381418821062638</v>
      </c>
      <c r="D381">
        <f>D380</f>
        <v>3.3731334104286437</v>
      </c>
    </row>
    <row r="382" spans="1:4" x14ac:dyDescent="0.25">
      <c r="A382">
        <f t="shared" si="43"/>
        <v>31.166666666666494</v>
      </c>
      <c r="B382">
        <f t="shared" si="42"/>
        <v>5371.4448510633783</v>
      </c>
      <c r="C382">
        <f t="shared" si="41"/>
        <v>98.142417150899277</v>
      </c>
      <c r="D382">
        <f t="shared" ref="D382:D391" si="48">D381</f>
        <v>3.3731334104286437</v>
      </c>
    </row>
    <row r="383" spans="1:4" x14ac:dyDescent="0.25">
      <c r="A383">
        <f t="shared" si="43"/>
        <v>31.249999999999826</v>
      </c>
      <c r="B383">
        <f t="shared" si="42"/>
        <v>5469.5872682142772</v>
      </c>
      <c r="C383">
        <f t="shared" si="41"/>
        <v>99.935590926538865</v>
      </c>
      <c r="D383">
        <f t="shared" si="48"/>
        <v>3.3731334104286437</v>
      </c>
    </row>
    <row r="384" spans="1:4" x14ac:dyDescent="0.25">
      <c r="A384">
        <f t="shared" si="43"/>
        <v>31.333333333333158</v>
      </c>
      <c r="B384">
        <f t="shared" si="42"/>
        <v>5569.5228591408159</v>
      </c>
      <c r="C384">
        <f t="shared" si="41"/>
        <v>101.7615280300339</v>
      </c>
      <c r="D384">
        <f t="shared" si="48"/>
        <v>3.3731334104286437</v>
      </c>
    </row>
    <row r="385" spans="1:4" x14ac:dyDescent="0.25">
      <c r="A385">
        <f t="shared" si="43"/>
        <v>31.41666666666649</v>
      </c>
      <c r="B385">
        <f t="shared" si="42"/>
        <v>5671.2843871708501</v>
      </c>
      <c r="C385">
        <f t="shared" si="41"/>
        <v>103.62082708471179</v>
      </c>
      <c r="D385">
        <f t="shared" si="48"/>
        <v>3.3731334104286437</v>
      </c>
    </row>
    <row r="386" spans="1:4" x14ac:dyDescent="0.25">
      <c r="A386">
        <f t="shared" si="43"/>
        <v>31.499999999999822</v>
      </c>
      <c r="B386">
        <f t="shared" si="42"/>
        <v>5774.905214255562</v>
      </c>
      <c r="C386">
        <f t="shared" si="41"/>
        <v>105.51409765143011</v>
      </c>
      <c r="D386">
        <f t="shared" si="48"/>
        <v>3.3731334104286437</v>
      </c>
    </row>
    <row r="387" spans="1:4" x14ac:dyDescent="0.25">
      <c r="A387">
        <f t="shared" si="43"/>
        <v>31.583333333333155</v>
      </c>
      <c r="B387">
        <f t="shared" si="42"/>
        <v>5880.4193119069923</v>
      </c>
      <c r="C387">
        <f t="shared" si="41"/>
        <v>107.44196042841783</v>
      </c>
      <c r="D387">
        <f t="shared" si="48"/>
        <v>3.3731334104286437</v>
      </c>
    </row>
    <row r="388" spans="1:4" x14ac:dyDescent="0.25">
      <c r="A388">
        <f t="shared" si="43"/>
        <v>31.666666666666487</v>
      </c>
      <c r="B388">
        <f t="shared" si="42"/>
        <v>5987.8612723354099</v>
      </c>
      <c r="C388">
        <f t="shared" si="41"/>
        <v>109.40504745476767</v>
      </c>
      <c r="D388">
        <f t="shared" si="48"/>
        <v>3.3731334104286437</v>
      </c>
    </row>
    <row r="389" spans="1:4" x14ac:dyDescent="0.25">
      <c r="A389">
        <f t="shared" si="43"/>
        <v>31.749999999999819</v>
      </c>
      <c r="B389">
        <f t="shared" si="42"/>
        <v>6097.2663197901775</v>
      </c>
      <c r="C389">
        <f t="shared" si="41"/>
        <v>111.4040023176467</v>
      </c>
      <c r="D389">
        <f t="shared" si="48"/>
        <v>3.3731334104286437</v>
      </c>
    </row>
    <row r="390" spans="1:4" x14ac:dyDescent="0.25">
      <c r="A390">
        <f t="shared" si="43"/>
        <v>31.833333333333151</v>
      </c>
      <c r="B390">
        <f t="shared" si="42"/>
        <v>6208.6703221078242</v>
      </c>
      <c r="C390">
        <f t="shared" si="41"/>
        <v>113.4394803632928</v>
      </c>
      <c r="D390">
        <f t="shared" si="48"/>
        <v>3.3731334104286437</v>
      </c>
    </row>
    <row r="391" spans="1:4" x14ac:dyDescent="0.25">
      <c r="A391">
        <f t="shared" si="43"/>
        <v>31.916666666666483</v>
      </c>
      <c r="B391">
        <f t="shared" si="42"/>
        <v>6322.1098024711173</v>
      </c>
      <c r="C391">
        <f t="shared" si="41"/>
        <v>115.51214891186619</v>
      </c>
      <c r="D391">
        <f t="shared" si="48"/>
        <v>3.3731334104286437</v>
      </c>
    </row>
    <row r="392" spans="1:4" x14ac:dyDescent="0.25">
      <c r="A392">
        <f t="shared" si="43"/>
        <v>31.999999999999815</v>
      </c>
      <c r="B392">
        <f t="shared" si="42"/>
        <v>6437.6219513829838</v>
      </c>
      <c r="C392">
        <f t="shared" si="41"/>
        <v>122.32759497527582</v>
      </c>
      <c r="D392">
        <f>D391*(1+$B$5)</f>
        <v>3.5080587468457893</v>
      </c>
    </row>
    <row r="393" spans="1:4" x14ac:dyDescent="0.25">
      <c r="A393">
        <f t="shared" si="43"/>
        <v>32.083333333333151</v>
      </c>
      <c r="B393">
        <f t="shared" si="42"/>
        <v>6559.9495463582598</v>
      </c>
      <c r="C393">
        <f t="shared" ref="C393:C428" si="49">B393*(($B$4)*D393/12)</f>
        <v>124.65206208524963</v>
      </c>
      <c r="D393">
        <f>D392</f>
        <v>3.5080587468457893</v>
      </c>
    </row>
    <row r="394" spans="1:4" x14ac:dyDescent="0.25">
      <c r="A394">
        <f t="shared" si="43"/>
        <v>32.166666666666487</v>
      </c>
      <c r="B394">
        <f t="shared" ref="B394:B428" si="50">B393+C393</f>
        <v>6684.6016084435096</v>
      </c>
      <c r="C394">
        <f t="shared" si="49"/>
        <v>127.02069868409829</v>
      </c>
      <c r="D394">
        <f t="shared" ref="D394:D403" si="51">D393</f>
        <v>3.5080587468457893</v>
      </c>
    </row>
    <row r="395" spans="1:4" x14ac:dyDescent="0.25">
      <c r="A395">
        <f t="shared" ref="A395:A428" si="52">A394+(1/12)</f>
        <v>32.249999999999822</v>
      </c>
      <c r="B395">
        <f t="shared" si="50"/>
        <v>6811.6223071276081</v>
      </c>
      <c r="C395">
        <f t="shared" si="49"/>
        <v>129.43434407978154</v>
      </c>
      <c r="D395">
        <f t="shared" si="51"/>
        <v>3.5080587468457893</v>
      </c>
    </row>
    <row r="396" spans="1:4" x14ac:dyDescent="0.25">
      <c r="A396">
        <f t="shared" si="52"/>
        <v>32.333333333333158</v>
      </c>
      <c r="B396">
        <f t="shared" si="50"/>
        <v>6941.0566512073892</v>
      </c>
      <c r="C396">
        <f t="shared" si="49"/>
        <v>131.89385352877622</v>
      </c>
      <c r="D396">
        <f t="shared" si="51"/>
        <v>3.5080587468457893</v>
      </c>
    </row>
    <row r="397" spans="1:4" x14ac:dyDescent="0.25">
      <c r="A397">
        <f t="shared" si="52"/>
        <v>32.416666666666494</v>
      </c>
      <c r="B397">
        <f t="shared" si="50"/>
        <v>7072.9505047361654</v>
      </c>
      <c r="C397">
        <f t="shared" si="49"/>
        <v>134.40009853912983</v>
      </c>
      <c r="D397">
        <f t="shared" si="51"/>
        <v>3.5080587468457893</v>
      </c>
    </row>
    <row r="398" spans="1:4" x14ac:dyDescent="0.25">
      <c r="A398">
        <f t="shared" si="52"/>
        <v>32.499999999999829</v>
      </c>
      <c r="B398">
        <f t="shared" si="50"/>
        <v>7207.3506032752948</v>
      </c>
      <c r="C398">
        <f t="shared" si="49"/>
        <v>136.95396717927261</v>
      </c>
      <c r="D398">
        <f t="shared" si="51"/>
        <v>3.5080587468457893</v>
      </c>
    </row>
    <row r="399" spans="1:4" x14ac:dyDescent="0.25">
      <c r="A399">
        <f t="shared" si="52"/>
        <v>32.583333333333165</v>
      </c>
      <c r="B399">
        <f t="shared" si="50"/>
        <v>7344.3045704545675</v>
      </c>
      <c r="C399">
        <f t="shared" si="49"/>
        <v>139.5563643926977</v>
      </c>
      <c r="D399">
        <f t="shared" si="51"/>
        <v>3.5080587468457893</v>
      </c>
    </row>
    <row r="400" spans="1:4" x14ac:dyDescent="0.25">
      <c r="A400">
        <f t="shared" si="52"/>
        <v>32.666666666666501</v>
      </c>
      <c r="B400">
        <f t="shared" si="50"/>
        <v>7483.8609348472655</v>
      </c>
      <c r="C400">
        <f t="shared" si="49"/>
        <v>142.20821231862081</v>
      </c>
      <c r="D400">
        <f t="shared" si="51"/>
        <v>3.5080587468457893</v>
      </c>
    </row>
    <row r="401" spans="1:4" x14ac:dyDescent="0.25">
      <c r="A401">
        <f t="shared" si="52"/>
        <v>32.749999999999837</v>
      </c>
      <c r="B401">
        <f t="shared" si="50"/>
        <v>7626.0691471658865</v>
      </c>
      <c r="C401">
        <f t="shared" si="49"/>
        <v>144.91045061873302</v>
      </c>
      <c r="D401">
        <f t="shared" si="51"/>
        <v>3.5080587468457893</v>
      </c>
    </row>
    <row r="402" spans="1:4" x14ac:dyDescent="0.25">
      <c r="A402">
        <f t="shared" si="52"/>
        <v>32.833333333333172</v>
      </c>
      <c r="B402">
        <f t="shared" si="50"/>
        <v>7770.9795977846197</v>
      </c>
      <c r="C402">
        <f t="shared" si="49"/>
        <v>147.66403681016274</v>
      </c>
      <c r="D402">
        <f t="shared" si="51"/>
        <v>3.5080587468457893</v>
      </c>
    </row>
    <row r="403" spans="1:4" x14ac:dyDescent="0.25">
      <c r="A403">
        <f t="shared" si="52"/>
        <v>32.916666666666508</v>
      </c>
      <c r="B403">
        <f t="shared" si="50"/>
        <v>7918.6436345947823</v>
      </c>
      <c r="C403">
        <f t="shared" si="49"/>
        <v>150.46994660476435</v>
      </c>
      <c r="D403">
        <f t="shared" si="51"/>
        <v>3.5080587468457893</v>
      </c>
    </row>
    <row r="404" spans="1:4" x14ac:dyDescent="0.25">
      <c r="A404">
        <f t="shared" si="52"/>
        <v>32.999999999999844</v>
      </c>
      <c r="B404">
        <f t="shared" si="50"/>
        <v>8069.1135811995464</v>
      </c>
      <c r="C404">
        <f t="shared" si="49"/>
        <v>159.46234122504825</v>
      </c>
      <c r="D404">
        <f>D403*(1+$B$5)</f>
        <v>3.6483810967196209</v>
      </c>
    </row>
    <row r="405" spans="1:4" x14ac:dyDescent="0.25">
      <c r="A405">
        <f t="shared" si="52"/>
        <v>33.083333333333179</v>
      </c>
      <c r="B405">
        <f t="shared" si="50"/>
        <v>8228.575922424594</v>
      </c>
      <c r="C405">
        <f t="shared" si="49"/>
        <v>162.61364626160389</v>
      </c>
      <c r="D405">
        <f>D404</f>
        <v>3.6483810967196209</v>
      </c>
    </row>
    <row r="406" spans="1:4" x14ac:dyDescent="0.25">
      <c r="A406">
        <f t="shared" si="52"/>
        <v>33.166666666666515</v>
      </c>
      <c r="B406">
        <f t="shared" si="50"/>
        <v>8391.1895686861972</v>
      </c>
      <c r="C406">
        <f t="shared" si="49"/>
        <v>165.82722759083862</v>
      </c>
      <c r="D406">
        <f t="shared" ref="D406:D415" si="53">D405</f>
        <v>3.6483810967196209</v>
      </c>
    </row>
    <row r="407" spans="1:4" x14ac:dyDescent="0.25">
      <c r="A407">
        <f t="shared" si="52"/>
        <v>33.249999999999851</v>
      </c>
      <c r="B407">
        <f t="shared" si="50"/>
        <v>8557.0167962770356</v>
      </c>
      <c r="C407">
        <f t="shared" si="49"/>
        <v>169.10431592085106</v>
      </c>
      <c r="D407">
        <f t="shared" si="53"/>
        <v>3.6483810967196209</v>
      </c>
    </row>
    <row r="408" spans="1:4" x14ac:dyDescent="0.25">
      <c r="A408">
        <f t="shared" si="52"/>
        <v>33.333333333333186</v>
      </c>
      <c r="B408">
        <f t="shared" si="50"/>
        <v>8726.1211121978868</v>
      </c>
      <c r="C408">
        <f t="shared" si="49"/>
        <v>172.44616628107246</v>
      </c>
      <c r="D408">
        <f t="shared" si="53"/>
        <v>3.6483810967196209</v>
      </c>
    </row>
    <row r="409" spans="1:4" x14ac:dyDescent="0.25">
      <c r="A409">
        <f t="shared" si="52"/>
        <v>33.416666666666522</v>
      </c>
      <c r="B409">
        <f t="shared" si="50"/>
        <v>8898.5672784789585</v>
      </c>
      <c r="C409">
        <f t="shared" si="49"/>
        <v>175.8540585029063</v>
      </c>
      <c r="D409">
        <f t="shared" si="53"/>
        <v>3.6483810967196209</v>
      </c>
    </row>
    <row r="410" spans="1:4" x14ac:dyDescent="0.25">
      <c r="A410">
        <f t="shared" si="52"/>
        <v>33.499999999999858</v>
      </c>
      <c r="B410">
        <f t="shared" si="50"/>
        <v>9074.4213369818644</v>
      </c>
      <c r="C410">
        <f t="shared" si="49"/>
        <v>179.32929770986652</v>
      </c>
      <c r="D410">
        <f t="shared" si="53"/>
        <v>3.6483810967196209</v>
      </c>
    </row>
    <row r="411" spans="1:4" x14ac:dyDescent="0.25">
      <c r="A411">
        <f t="shared" si="52"/>
        <v>33.583333333333194</v>
      </c>
      <c r="B411">
        <f t="shared" si="50"/>
        <v>9253.7506346917307</v>
      </c>
      <c r="C411">
        <f t="shared" si="49"/>
        <v>182.8732148174019</v>
      </c>
      <c r="D411">
        <f t="shared" si="53"/>
        <v>3.6483810967196209</v>
      </c>
    </row>
    <row r="412" spans="1:4" x14ac:dyDescent="0.25">
      <c r="A412">
        <f t="shared" si="52"/>
        <v>33.666666666666529</v>
      </c>
      <c r="B412">
        <f t="shared" si="50"/>
        <v>9436.6238495091329</v>
      </c>
      <c r="C412">
        <f t="shared" si="49"/>
        <v>186.48716704259775</v>
      </c>
      <c r="D412">
        <f t="shared" si="53"/>
        <v>3.6483810967196209</v>
      </c>
    </row>
    <row r="413" spans="1:4" x14ac:dyDescent="0.25">
      <c r="A413">
        <f t="shared" si="52"/>
        <v>33.749999999999865</v>
      </c>
      <c r="B413">
        <f t="shared" si="50"/>
        <v>9623.1110165517312</v>
      </c>
      <c r="C413">
        <f t="shared" si="49"/>
        <v>190.1725384239507</v>
      </c>
      <c r="D413">
        <f t="shared" si="53"/>
        <v>3.6483810967196209</v>
      </c>
    </row>
    <row r="414" spans="1:4" x14ac:dyDescent="0.25">
      <c r="A414">
        <f t="shared" si="52"/>
        <v>33.833333333333201</v>
      </c>
      <c r="B414">
        <f t="shared" si="50"/>
        <v>9813.2835549756819</v>
      </c>
      <c r="C414">
        <f t="shared" si="49"/>
        <v>193.93074035141515</v>
      </c>
      <c r="D414">
        <f t="shared" si="53"/>
        <v>3.6483810967196209</v>
      </c>
    </row>
    <row r="415" spans="1:4" x14ac:dyDescent="0.25">
      <c r="A415">
        <f t="shared" si="52"/>
        <v>33.916666666666536</v>
      </c>
      <c r="B415">
        <f t="shared" si="50"/>
        <v>10007.214295327098</v>
      </c>
      <c r="C415">
        <f t="shared" si="49"/>
        <v>197.76321210692444</v>
      </c>
      <c r="D415">
        <f t="shared" si="53"/>
        <v>3.6483810967196209</v>
      </c>
    </row>
    <row r="416" spans="1:4" x14ac:dyDescent="0.25">
      <c r="A416">
        <f t="shared" si="52"/>
        <v>33.999999999999872</v>
      </c>
      <c r="B416">
        <f t="shared" si="50"/>
        <v>10204.977507434021</v>
      </c>
      <c r="C416">
        <f t="shared" si="49"/>
        <v>209.73827827221777</v>
      </c>
      <c r="D416">
        <f>D415*(1+$B$5)</f>
        <v>3.7943163405884057</v>
      </c>
    </row>
    <row r="417" spans="1:4" x14ac:dyDescent="0.25">
      <c r="A417">
        <f t="shared" si="52"/>
        <v>34.083333333333208</v>
      </c>
      <c r="B417">
        <f t="shared" si="50"/>
        <v>10414.715785706239</v>
      </c>
      <c r="C417">
        <f t="shared" si="49"/>
        <v>214.04893406156651</v>
      </c>
      <c r="D417">
        <f>D416</f>
        <v>3.7943163405884057</v>
      </c>
    </row>
    <row r="418" spans="1:4" x14ac:dyDescent="0.25">
      <c r="A418">
        <f t="shared" si="52"/>
        <v>34.166666666666544</v>
      </c>
      <c r="B418">
        <f t="shared" si="50"/>
        <v>10628.764719767805</v>
      </c>
      <c r="C418">
        <f t="shared" si="49"/>
        <v>218.44818480595788</v>
      </c>
      <c r="D418">
        <f t="shared" ref="D418:D427" si="54">D417</f>
        <v>3.7943163405884057</v>
      </c>
    </row>
    <row r="419" spans="1:4" x14ac:dyDescent="0.25">
      <c r="A419">
        <f t="shared" si="52"/>
        <v>34.249999999999879</v>
      </c>
      <c r="B419">
        <f t="shared" si="50"/>
        <v>10847.212904573764</v>
      </c>
      <c r="C419">
        <f t="shared" si="49"/>
        <v>222.93785135735564</v>
      </c>
      <c r="D419">
        <f t="shared" si="54"/>
        <v>3.7943163405884057</v>
      </c>
    </row>
    <row r="420" spans="1:4" x14ac:dyDescent="0.25">
      <c r="A420">
        <f t="shared" si="52"/>
        <v>34.333333333333215</v>
      </c>
      <c r="B420">
        <f t="shared" si="50"/>
        <v>11070.150755931119</v>
      </c>
      <c r="C420">
        <f t="shared" si="49"/>
        <v>227.51979199086875</v>
      </c>
      <c r="D420">
        <f t="shared" si="54"/>
        <v>3.7943163405884057</v>
      </c>
    </row>
    <row r="421" spans="1:4" x14ac:dyDescent="0.25">
      <c r="A421">
        <f t="shared" si="52"/>
        <v>34.416666666666551</v>
      </c>
      <c r="B421">
        <f t="shared" si="50"/>
        <v>11297.670547921989</v>
      </c>
      <c r="C421">
        <f t="shared" si="49"/>
        <v>232.1959031738925</v>
      </c>
      <c r="D421">
        <f t="shared" si="54"/>
        <v>3.7943163405884057</v>
      </c>
    </row>
    <row r="422" spans="1:4" x14ac:dyDescent="0.25">
      <c r="A422">
        <f t="shared" si="52"/>
        <v>34.499999999999886</v>
      </c>
      <c r="B422">
        <f t="shared" si="50"/>
        <v>11529.866451095882</v>
      </c>
      <c r="C422">
        <f t="shared" si="49"/>
        <v>236.96812035105711</v>
      </c>
      <c r="D422">
        <f t="shared" si="54"/>
        <v>3.7943163405884057</v>
      </c>
    </row>
    <row r="423" spans="1:4" x14ac:dyDescent="0.25">
      <c r="A423">
        <f t="shared" si="52"/>
        <v>34.583333333333222</v>
      </c>
      <c r="B423">
        <f t="shared" si="50"/>
        <v>11766.83457144694</v>
      </c>
      <c r="C423">
        <f t="shared" si="49"/>
        <v>241.83841874530918</v>
      </c>
      <c r="D423">
        <f t="shared" si="54"/>
        <v>3.7943163405884057</v>
      </c>
    </row>
    <row r="424" spans="1:4" x14ac:dyDescent="0.25">
      <c r="A424">
        <f t="shared" si="52"/>
        <v>34.666666666666558</v>
      </c>
      <c r="B424">
        <f t="shared" si="50"/>
        <v>12008.672990192248</v>
      </c>
      <c r="C424">
        <f t="shared" si="49"/>
        <v>246.80881417545751</v>
      </c>
      <c r="D424">
        <f t="shared" si="54"/>
        <v>3.7943163405884057</v>
      </c>
    </row>
    <row r="425" spans="1:4" x14ac:dyDescent="0.25">
      <c r="A425">
        <f t="shared" si="52"/>
        <v>34.749999999999893</v>
      </c>
      <c r="B425">
        <f t="shared" si="50"/>
        <v>12255.481804367706</v>
      </c>
      <c r="C425">
        <f t="shared" si="49"/>
        <v>251.88136389052144</v>
      </c>
      <c r="D425">
        <f t="shared" si="54"/>
        <v>3.7943163405884057</v>
      </c>
    </row>
    <row r="426" spans="1:4" x14ac:dyDescent="0.25">
      <c r="A426">
        <f t="shared" si="52"/>
        <v>34.833333333333229</v>
      </c>
      <c r="B426">
        <f t="shared" si="50"/>
        <v>12507.363168258227</v>
      </c>
      <c r="C426">
        <f t="shared" si="49"/>
        <v>257.0581674212271</v>
      </c>
      <c r="D426">
        <f t="shared" si="54"/>
        <v>3.7943163405884057</v>
      </c>
    </row>
    <row r="427" spans="1:4" x14ac:dyDescent="0.25">
      <c r="A427">
        <f t="shared" si="52"/>
        <v>34.916666666666565</v>
      </c>
      <c r="B427">
        <f t="shared" si="50"/>
        <v>12764.421335679453</v>
      </c>
      <c r="C427">
        <f t="shared" si="49"/>
        <v>262.34136744900411</v>
      </c>
      <c r="D427">
        <f t="shared" si="54"/>
        <v>3.7943163405884057</v>
      </c>
    </row>
    <row r="428" spans="1:4" x14ac:dyDescent="0.25">
      <c r="A428">
        <f t="shared" si="52"/>
        <v>34.999999999999901</v>
      </c>
      <c r="B428">
        <f t="shared" si="50"/>
        <v>13026.762703128457</v>
      </c>
      <c r="C428">
        <f t="shared" si="49"/>
        <v>0</v>
      </c>
    </row>
  </sheetData>
  <mergeCells count="1">
    <mergeCell ref="G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workbookViewId="0">
      <selection activeCell="B6" sqref="B6"/>
    </sheetView>
  </sheetViews>
  <sheetFormatPr defaultRowHeight="15" x14ac:dyDescent="0.25"/>
  <cols>
    <col min="1" max="1" width="26.5703125" customWidth="1"/>
    <col min="2" max="2" width="23.85546875" customWidth="1"/>
    <col min="4" max="4" width="16.85546875" customWidth="1"/>
    <col min="5" max="5" width="17.85546875" customWidth="1"/>
    <col min="6" max="6" width="12.5703125" bestFit="1" customWidth="1"/>
    <col min="9" max="9" width="17" customWidth="1"/>
    <col min="10" max="10" width="16.5703125" customWidth="1"/>
    <col min="11" max="12" width="24" customWidth="1"/>
    <col min="13" max="13" width="15.5703125" customWidth="1"/>
    <col min="15" max="15" width="12.85546875" customWidth="1"/>
    <col min="16" max="16" width="15.5703125" customWidth="1"/>
    <col min="17" max="17" width="18.7109375" customWidth="1"/>
    <col min="18" max="18" width="15.5703125" customWidth="1"/>
  </cols>
  <sheetData>
    <row r="1" spans="1:18" ht="16.5" thickBot="1" x14ac:dyDescent="0.3">
      <c r="A1" s="286" t="s">
        <v>216</v>
      </c>
      <c r="B1" s="287"/>
      <c r="D1" s="284" t="s">
        <v>234</v>
      </c>
      <c r="E1" s="207" t="s">
        <v>230</v>
      </c>
      <c r="F1" s="208">
        <v>117800</v>
      </c>
      <c r="H1" s="188" t="s">
        <v>239</v>
      </c>
      <c r="I1" s="188" t="s">
        <v>227</v>
      </c>
      <c r="J1" s="188" t="s">
        <v>232</v>
      </c>
      <c r="K1" s="188" t="s">
        <v>237</v>
      </c>
      <c r="L1" s="188" t="s">
        <v>240</v>
      </c>
      <c r="M1" s="188" t="s">
        <v>228</v>
      </c>
      <c r="N1" s="188" t="s">
        <v>238</v>
      </c>
      <c r="O1" s="188" t="s">
        <v>247</v>
      </c>
      <c r="P1" s="190" t="s">
        <v>242</v>
      </c>
      <c r="Q1" s="190" t="s">
        <v>248</v>
      </c>
      <c r="R1" s="215" t="s">
        <v>249</v>
      </c>
    </row>
    <row r="2" spans="1:18" x14ac:dyDescent="0.25">
      <c r="A2" s="196" t="s">
        <v>217</v>
      </c>
      <c r="B2" s="197">
        <f>'Portfolio Formatted'!B97</f>
        <v>154671.29802736</v>
      </c>
      <c r="D2" s="285"/>
      <c r="E2" s="188" t="s">
        <v>231</v>
      </c>
      <c r="F2" s="203">
        <v>7.0000000000000007E-2</v>
      </c>
      <c r="H2" s="188">
        <f>E8</f>
        <v>26</v>
      </c>
      <c r="I2" s="189">
        <f>B2</f>
        <v>154671.29802736</v>
      </c>
      <c r="J2" s="189">
        <f>F1*F2*2</f>
        <v>16492</v>
      </c>
      <c r="K2" s="189">
        <f>$F$4+$F$5</f>
        <v>15500</v>
      </c>
      <c r="L2" s="189">
        <f>K2+J2</f>
        <v>31992</v>
      </c>
      <c r="M2" s="189">
        <f t="shared" ref="M2:M41" si="0">I2*(1+$E$9)+J2+K2</f>
        <v>186663.29802736</v>
      </c>
      <c r="N2" s="188" t="str">
        <f t="shared" ref="N2:N19" si="1">IF(R2&gt;$B$13, "YES", "NO")</f>
        <v>NO</v>
      </c>
      <c r="O2" s="189">
        <f>M2*$B$8</f>
        <v>3811.7172499642752</v>
      </c>
      <c r="P2" s="187">
        <f>M2*$B$4</f>
        <v>7466.5319210943999</v>
      </c>
      <c r="Q2" s="187">
        <f>O2/12</f>
        <v>317.6431041636896</v>
      </c>
      <c r="R2" s="3">
        <f>P2+O2</f>
        <v>11278.249171058675</v>
      </c>
    </row>
    <row r="3" spans="1:18" x14ac:dyDescent="0.25">
      <c r="A3" s="191" t="s">
        <v>242</v>
      </c>
      <c r="B3" s="192">
        <f>B2*B4</f>
        <v>6186.8519210943996</v>
      </c>
      <c r="D3" s="285"/>
      <c r="E3" s="188" t="s">
        <v>233</v>
      </c>
      <c r="F3" s="203">
        <v>0.02</v>
      </c>
      <c r="H3" s="188">
        <f>H2+1</f>
        <v>27</v>
      </c>
      <c r="I3" s="189">
        <f>M2</f>
        <v>186663.29802736</v>
      </c>
      <c r="J3" s="189">
        <f>IF(($F$1*((1+$F$3)^(H3-$H$2)))*$F$2*2 &lt; 20000, ($F$1*((1+$F$3)^(H3-$H$2)))*$F$2*2, 20000)</f>
        <v>16821.84</v>
      </c>
      <c r="K3" s="189">
        <f>$F$4+$F$5+O2</f>
        <v>19311.717249964277</v>
      </c>
      <c r="L3" s="189">
        <f>K3+J3+O2</f>
        <v>39945.27449992855</v>
      </c>
      <c r="M3" s="189">
        <f t="shared" si="0"/>
        <v>222796.85527732427</v>
      </c>
      <c r="N3" s="188" t="str">
        <f t="shared" si="1"/>
        <v>NO</v>
      </c>
      <c r="O3" s="189">
        <f t="shared" ref="O3:O37" si="2">M3*$B$8</f>
        <v>4549.5746912919903</v>
      </c>
      <c r="P3" s="187">
        <f t="shared" ref="P3:P41" si="3">M3*$B$4</f>
        <v>8911.8742110929707</v>
      </c>
      <c r="Q3" s="187">
        <f t="shared" ref="Q3:Q41" si="4">O3/12</f>
        <v>379.13122427433251</v>
      </c>
      <c r="R3" s="3">
        <f t="shared" ref="R3:R41" si="5">P3+O3</f>
        <v>13461.44890238496</v>
      </c>
    </row>
    <row r="4" spans="1:18" x14ac:dyDescent="0.25">
      <c r="A4" s="191" t="s">
        <v>243</v>
      </c>
      <c r="B4" s="193">
        <v>0.04</v>
      </c>
      <c r="D4" s="99" t="s">
        <v>8</v>
      </c>
      <c r="E4" s="188" t="s">
        <v>235</v>
      </c>
      <c r="F4" s="209">
        <v>5500</v>
      </c>
      <c r="H4" s="188">
        <f t="shared" ref="H4:H23" si="6">H3+1</f>
        <v>28</v>
      </c>
      <c r="I4" s="189">
        <f t="shared" ref="I4:I41" si="7">M3</f>
        <v>222796.85527732427</v>
      </c>
      <c r="J4" s="189">
        <f t="shared" ref="J4:J37" si="8">IF(($F$1*((1+$F$3)^(H4-$H$2)))*$F$2*2 &lt; 20000, ($F$1*((1+$F$3)^(H4-$H$2)))*$F$2*2, 20000)</f>
        <v>17158.2768</v>
      </c>
      <c r="K4" s="189">
        <f t="shared" ref="K4:K41" si="9">$F$4+$F$5+O3</f>
        <v>20049.574691291989</v>
      </c>
      <c r="L4" s="189">
        <f t="shared" ref="L4:L41" si="10">K4+J4+O3</f>
        <v>41757.426182583986</v>
      </c>
      <c r="M4" s="189">
        <f t="shared" si="0"/>
        <v>260004.70676861625</v>
      </c>
      <c r="N4" s="188" t="str">
        <f t="shared" si="1"/>
        <v>NO</v>
      </c>
      <c r="O4" s="189">
        <f t="shared" si="2"/>
        <v>5309.3695243538095</v>
      </c>
      <c r="P4" s="187">
        <f t="shared" si="3"/>
        <v>10400.188270744649</v>
      </c>
      <c r="Q4" s="187">
        <f t="shared" si="4"/>
        <v>442.44746036281748</v>
      </c>
      <c r="R4" s="3">
        <f t="shared" si="5"/>
        <v>15709.557795098459</v>
      </c>
    </row>
    <row r="5" spans="1:18" ht="15.75" thickBot="1" x14ac:dyDescent="0.3">
      <c r="A5" s="191" t="s">
        <v>244</v>
      </c>
      <c r="B5" s="192">
        <f>B3/12</f>
        <v>515.5709934245333</v>
      </c>
      <c r="D5" s="101" t="s">
        <v>7</v>
      </c>
      <c r="E5" s="210" t="s">
        <v>236</v>
      </c>
      <c r="F5" s="211">
        <v>10000</v>
      </c>
      <c r="H5" s="188">
        <f t="shared" si="6"/>
        <v>29</v>
      </c>
      <c r="I5" s="189">
        <f t="shared" si="7"/>
        <v>260004.70676861625</v>
      </c>
      <c r="J5" s="189">
        <f t="shared" si="8"/>
        <v>17501.442336</v>
      </c>
      <c r="K5" s="189">
        <f t="shared" si="9"/>
        <v>20809.36952435381</v>
      </c>
      <c r="L5" s="189">
        <f t="shared" si="10"/>
        <v>43620.181384707619</v>
      </c>
      <c r="M5" s="189">
        <f t="shared" si="0"/>
        <v>298315.51862897008</v>
      </c>
      <c r="N5" s="188" t="str">
        <f t="shared" si="1"/>
        <v>NO</v>
      </c>
      <c r="O5" s="189">
        <f t="shared" si="2"/>
        <v>6091.687119571925</v>
      </c>
      <c r="P5" s="187">
        <f t="shared" si="3"/>
        <v>11932.620745158803</v>
      </c>
      <c r="Q5" s="187">
        <f t="shared" si="4"/>
        <v>507.64059329766042</v>
      </c>
      <c r="R5" s="3">
        <f t="shared" si="5"/>
        <v>18024.307864730727</v>
      </c>
    </row>
    <row r="6" spans="1:18" x14ac:dyDescent="0.25">
      <c r="A6" s="191" t="s">
        <v>219</v>
      </c>
      <c r="B6" s="192">
        <f>'Portfolio Formatted'!U97</f>
        <v>3158.4315770464891</v>
      </c>
      <c r="H6" s="188">
        <f t="shared" si="6"/>
        <v>30</v>
      </c>
      <c r="I6" s="189">
        <f t="shared" si="7"/>
        <v>298315.51862897008</v>
      </c>
      <c r="J6" s="189">
        <f t="shared" si="8"/>
        <v>17851.471182720001</v>
      </c>
      <c r="K6" s="189">
        <f t="shared" si="9"/>
        <v>21591.687119571925</v>
      </c>
      <c r="L6" s="189">
        <f t="shared" si="10"/>
        <v>45534.845421863851</v>
      </c>
      <c r="M6" s="189">
        <f t="shared" si="0"/>
        <v>337758.67693126196</v>
      </c>
      <c r="N6" s="188" t="str">
        <f t="shared" si="1"/>
        <v>NO</v>
      </c>
      <c r="O6" s="189">
        <f t="shared" si="2"/>
        <v>6897.1275488516039</v>
      </c>
      <c r="P6" s="187">
        <f t="shared" si="3"/>
        <v>13510.347077250479</v>
      </c>
      <c r="Q6" s="187">
        <f t="shared" si="4"/>
        <v>574.76062907096696</v>
      </c>
      <c r="R6" s="3">
        <f t="shared" si="5"/>
        <v>20407.474626102085</v>
      </c>
    </row>
    <row r="7" spans="1:18" ht="15.75" thickBot="1" x14ac:dyDescent="0.3">
      <c r="A7" s="191" t="s">
        <v>220</v>
      </c>
      <c r="B7" s="192">
        <f>B6/12</f>
        <v>263.20263142054074</v>
      </c>
      <c r="H7" s="188">
        <f t="shared" si="6"/>
        <v>31</v>
      </c>
      <c r="I7" s="189">
        <f t="shared" si="7"/>
        <v>337758.67693126196</v>
      </c>
      <c r="J7" s="189">
        <f t="shared" si="8"/>
        <v>18208.5006063744</v>
      </c>
      <c r="K7" s="189">
        <f t="shared" si="9"/>
        <v>22397.127548851604</v>
      </c>
      <c r="L7" s="189">
        <f t="shared" si="10"/>
        <v>47502.755704077608</v>
      </c>
      <c r="M7" s="189">
        <f t="shared" si="0"/>
        <v>378364.30508648796</v>
      </c>
      <c r="N7" s="188" t="str">
        <f t="shared" si="1"/>
        <v>NO</v>
      </c>
      <c r="O7" s="189">
        <f t="shared" si="2"/>
        <v>7726.3059407507108</v>
      </c>
      <c r="P7" s="187">
        <f t="shared" si="3"/>
        <v>15134.572203459518</v>
      </c>
      <c r="Q7" s="187">
        <f t="shared" si="4"/>
        <v>643.8588283958926</v>
      </c>
      <c r="R7" s="3">
        <f t="shared" si="5"/>
        <v>22860.87814421023</v>
      </c>
    </row>
    <row r="8" spans="1:18" ht="15.75" thickBot="1" x14ac:dyDescent="0.3">
      <c r="A8" s="194" t="s">
        <v>218</v>
      </c>
      <c r="B8" s="195">
        <f>B6/B2</f>
        <v>2.0420282349268126E-2</v>
      </c>
      <c r="D8" s="200" t="s">
        <v>225</v>
      </c>
      <c r="E8" s="201">
        <v>26</v>
      </c>
      <c r="H8" s="188">
        <f t="shared" si="6"/>
        <v>32</v>
      </c>
      <c r="I8" s="189">
        <f t="shared" si="7"/>
        <v>378364.30508648796</v>
      </c>
      <c r="J8" s="189">
        <f t="shared" si="8"/>
        <v>18572.670618501892</v>
      </c>
      <c r="K8" s="189">
        <f t="shared" si="9"/>
        <v>23226.30594075071</v>
      </c>
      <c r="L8" s="189">
        <f t="shared" si="10"/>
        <v>49525.282500003312</v>
      </c>
      <c r="M8" s="189">
        <f t="shared" si="0"/>
        <v>420163.28164574056</v>
      </c>
      <c r="N8" s="188" t="str">
        <f t="shared" si="1"/>
        <v>NO</v>
      </c>
      <c r="O8" s="189">
        <f t="shared" si="2"/>
        <v>8579.8528440010887</v>
      </c>
      <c r="P8" s="187">
        <f t="shared" si="3"/>
        <v>16806.531265829624</v>
      </c>
      <c r="Q8" s="187">
        <f t="shared" si="4"/>
        <v>714.98773700009076</v>
      </c>
      <c r="R8" s="3">
        <f t="shared" si="5"/>
        <v>25386.384109830713</v>
      </c>
    </row>
    <row r="9" spans="1:18" ht="15.75" thickBot="1" x14ac:dyDescent="0.3">
      <c r="D9" s="202" t="s">
        <v>229</v>
      </c>
      <c r="E9" s="203">
        <v>0</v>
      </c>
      <c r="H9" s="188">
        <f t="shared" si="6"/>
        <v>33</v>
      </c>
      <c r="I9" s="189">
        <f t="shared" si="7"/>
        <v>420163.28164574056</v>
      </c>
      <c r="J9" s="189">
        <f t="shared" si="8"/>
        <v>18944.124030871924</v>
      </c>
      <c r="K9" s="189">
        <f t="shared" si="9"/>
        <v>24079.852844001089</v>
      </c>
      <c r="L9" s="189">
        <f t="shared" si="10"/>
        <v>51603.829718874098</v>
      </c>
      <c r="M9" s="189">
        <f t="shared" si="0"/>
        <v>463187.25852061354</v>
      </c>
      <c r="N9" s="188" t="str">
        <f t="shared" si="1"/>
        <v>NO</v>
      </c>
      <c r="O9" s="189">
        <f t="shared" si="2"/>
        <v>9458.4145995743766</v>
      </c>
      <c r="P9" s="187">
        <f t="shared" si="3"/>
        <v>18527.490340824541</v>
      </c>
      <c r="Q9" s="187">
        <f t="shared" si="4"/>
        <v>788.20121663119801</v>
      </c>
      <c r="R9" s="3">
        <f t="shared" si="5"/>
        <v>27985.904940398919</v>
      </c>
    </row>
    <row r="10" spans="1:18" x14ac:dyDescent="0.25">
      <c r="A10" s="196" t="s">
        <v>221</v>
      </c>
      <c r="B10" s="197">
        <f>B7+B5</f>
        <v>778.77362484507398</v>
      </c>
      <c r="D10" s="202" t="s">
        <v>226</v>
      </c>
      <c r="E10" s="204">
        <v>37</v>
      </c>
      <c r="H10" s="188">
        <f t="shared" si="6"/>
        <v>34</v>
      </c>
      <c r="I10" s="189">
        <f t="shared" si="7"/>
        <v>463187.25852061354</v>
      </c>
      <c r="J10" s="189">
        <f t="shared" si="8"/>
        <v>19323.006511489362</v>
      </c>
      <c r="K10" s="189">
        <f t="shared" si="9"/>
        <v>24958.414599574375</v>
      </c>
      <c r="L10" s="189">
        <f t="shared" si="10"/>
        <v>53739.835710638115</v>
      </c>
      <c r="M10" s="189">
        <f t="shared" si="0"/>
        <v>507468.67963167722</v>
      </c>
      <c r="N10" s="188" t="str">
        <f t="shared" si="1"/>
        <v>NO</v>
      </c>
      <c r="O10" s="189">
        <f t="shared" si="2"/>
        <v>10362.65372148914</v>
      </c>
      <c r="P10" s="187">
        <f t="shared" si="3"/>
        <v>20298.74718526709</v>
      </c>
      <c r="Q10" s="187">
        <f t="shared" si="4"/>
        <v>863.55447679076167</v>
      </c>
      <c r="R10" s="3">
        <f t="shared" si="5"/>
        <v>30661.400906756229</v>
      </c>
    </row>
    <row r="11" spans="1:18" ht="15.75" thickBot="1" x14ac:dyDescent="0.3">
      <c r="A11" s="194" t="s">
        <v>222</v>
      </c>
      <c r="B11" s="198">
        <f>B6+B3</f>
        <v>9345.2834981408887</v>
      </c>
      <c r="D11" s="205" t="s">
        <v>241</v>
      </c>
      <c r="E11" s="206">
        <f>E10-E8</f>
        <v>11</v>
      </c>
      <c r="H11" s="188">
        <f t="shared" si="6"/>
        <v>35</v>
      </c>
      <c r="I11" s="189">
        <f t="shared" si="7"/>
        <v>507468.67963167722</v>
      </c>
      <c r="J11" s="189">
        <f t="shared" si="8"/>
        <v>19709.466641719151</v>
      </c>
      <c r="K11" s="189">
        <f t="shared" si="9"/>
        <v>25862.65372148914</v>
      </c>
      <c r="L11" s="189">
        <f t="shared" si="10"/>
        <v>55934.774084697434</v>
      </c>
      <c r="M11" s="189">
        <f t="shared" si="0"/>
        <v>553040.79999488546</v>
      </c>
      <c r="N11" s="188" t="str">
        <f t="shared" si="1"/>
        <v>NO</v>
      </c>
      <c r="O11" s="189">
        <f t="shared" si="2"/>
        <v>11293.249286560684</v>
      </c>
      <c r="P11" s="187">
        <f t="shared" si="3"/>
        <v>22121.63199979542</v>
      </c>
      <c r="Q11" s="187">
        <f t="shared" si="4"/>
        <v>941.10410721339031</v>
      </c>
      <c r="R11" s="3">
        <f t="shared" si="5"/>
        <v>33414.881286356103</v>
      </c>
    </row>
    <row r="12" spans="1:18" ht="15.75" thickBot="1" x14ac:dyDescent="0.3">
      <c r="H12" s="188">
        <f t="shared" si="6"/>
        <v>36</v>
      </c>
      <c r="I12" s="189">
        <f t="shared" si="7"/>
        <v>553040.79999488546</v>
      </c>
      <c r="J12" s="189">
        <f t="shared" si="8"/>
        <v>20000</v>
      </c>
      <c r="K12" s="189">
        <f t="shared" si="9"/>
        <v>26793.249286560684</v>
      </c>
      <c r="L12" s="189">
        <f t="shared" si="10"/>
        <v>58086.498573121367</v>
      </c>
      <c r="M12" s="189">
        <f t="shared" si="0"/>
        <v>599834.04928144615</v>
      </c>
      <c r="N12" s="188" t="str">
        <f t="shared" si="1"/>
        <v>NO</v>
      </c>
      <c r="O12" s="189">
        <f t="shared" si="2"/>
        <v>12248.780649031942</v>
      </c>
      <c r="P12" s="187">
        <f t="shared" si="3"/>
        <v>23993.361971257847</v>
      </c>
      <c r="Q12" s="187">
        <f t="shared" si="4"/>
        <v>1020.7317207526618</v>
      </c>
      <c r="R12" s="3">
        <f t="shared" si="5"/>
        <v>36242.142620289786</v>
      </c>
    </row>
    <row r="13" spans="1:18" x14ac:dyDescent="0.25">
      <c r="A13" s="196" t="s">
        <v>223</v>
      </c>
      <c r="B13" s="199">
        <v>60000</v>
      </c>
      <c r="H13" s="188">
        <f t="shared" si="6"/>
        <v>37</v>
      </c>
      <c r="I13" s="189">
        <f t="shared" si="7"/>
        <v>599834.04928144615</v>
      </c>
      <c r="J13" s="189">
        <f t="shared" si="8"/>
        <v>20000</v>
      </c>
      <c r="K13" s="189">
        <f t="shared" si="9"/>
        <v>27748.780649031942</v>
      </c>
      <c r="L13" s="189">
        <f t="shared" si="10"/>
        <v>59997.561298063883</v>
      </c>
      <c r="M13" s="189">
        <f t="shared" si="0"/>
        <v>647582.82993047812</v>
      </c>
      <c r="N13" s="188" t="str">
        <f t="shared" si="1"/>
        <v>NO</v>
      </c>
      <c r="O13" s="189">
        <f t="shared" si="2"/>
        <v>13223.824231718445</v>
      </c>
      <c r="P13" s="187">
        <f t="shared" si="3"/>
        <v>25903.313197219126</v>
      </c>
      <c r="Q13" s="187">
        <f t="shared" si="4"/>
        <v>1101.9853526432037</v>
      </c>
      <c r="R13" s="3">
        <f t="shared" si="5"/>
        <v>39127.137428937567</v>
      </c>
    </row>
    <row r="14" spans="1:18" ht="15.75" thickBot="1" x14ac:dyDescent="0.3">
      <c r="A14" s="194" t="s">
        <v>224</v>
      </c>
      <c r="B14" s="198">
        <f>VLOOKUP(E10,H:R, 2)</f>
        <v>599834.04928144615</v>
      </c>
      <c r="H14" s="188">
        <f t="shared" si="6"/>
        <v>38</v>
      </c>
      <c r="I14" s="189">
        <f t="shared" si="7"/>
        <v>647582.82993047812</v>
      </c>
      <c r="J14" s="189">
        <f t="shared" si="8"/>
        <v>20000</v>
      </c>
      <c r="K14" s="189">
        <f t="shared" si="9"/>
        <v>28723.824231718445</v>
      </c>
      <c r="L14" s="189">
        <f t="shared" si="10"/>
        <v>61947.648463436897</v>
      </c>
      <c r="M14" s="189">
        <f t="shared" si="0"/>
        <v>696306.65416219656</v>
      </c>
      <c r="N14" s="188" t="str">
        <f t="shared" si="1"/>
        <v>NO</v>
      </c>
      <c r="O14" s="189">
        <f t="shared" si="2"/>
        <v>14218.778479666247</v>
      </c>
      <c r="P14" s="187">
        <f t="shared" si="3"/>
        <v>27852.266166487861</v>
      </c>
      <c r="Q14" s="187">
        <f t="shared" si="4"/>
        <v>1184.8982066388539</v>
      </c>
      <c r="R14" s="3">
        <f>P14+O14</f>
        <v>42071.044646154107</v>
      </c>
    </row>
    <row r="15" spans="1:18" ht="15.75" thickBot="1" x14ac:dyDescent="0.3">
      <c r="H15" s="188">
        <f t="shared" si="6"/>
        <v>39</v>
      </c>
      <c r="I15" s="189">
        <f t="shared" si="7"/>
        <v>696306.65416219656</v>
      </c>
      <c r="J15" s="189">
        <f t="shared" si="8"/>
        <v>20000</v>
      </c>
      <c r="K15" s="189">
        <f t="shared" si="9"/>
        <v>29718.778479666245</v>
      </c>
      <c r="L15" s="189">
        <f t="shared" si="10"/>
        <v>63937.556959332491</v>
      </c>
      <c r="M15" s="189">
        <f t="shared" si="0"/>
        <v>746025.43264186278</v>
      </c>
      <c r="N15" s="188" t="str">
        <f t="shared" si="1"/>
        <v>NO</v>
      </c>
      <c r="O15" s="189">
        <f t="shared" si="2"/>
        <v>15234.049974281748</v>
      </c>
      <c r="P15" s="187">
        <f t="shared" si="3"/>
        <v>29841.017305674512</v>
      </c>
      <c r="Q15" s="187">
        <f t="shared" si="4"/>
        <v>1269.5041645234789</v>
      </c>
      <c r="R15" s="3">
        <f t="shared" si="5"/>
        <v>45075.06727995626</v>
      </c>
    </row>
    <row r="16" spans="1:18" x14ac:dyDescent="0.25">
      <c r="A16" s="196" t="s">
        <v>245</v>
      </c>
      <c r="B16" s="199">
        <f>VLOOKUP(E10,H:P, 9)</f>
        <v>25903.313197219126</v>
      </c>
      <c r="H16" s="188">
        <f t="shared" si="6"/>
        <v>40</v>
      </c>
      <c r="I16" s="189">
        <f t="shared" si="7"/>
        <v>746025.43264186278</v>
      </c>
      <c r="J16" s="189">
        <f t="shared" si="8"/>
        <v>20000</v>
      </c>
      <c r="K16" s="189">
        <f t="shared" si="9"/>
        <v>30734.049974281748</v>
      </c>
      <c r="L16" s="189">
        <f t="shared" si="10"/>
        <v>65968.099948563497</v>
      </c>
      <c r="M16" s="189">
        <f t="shared" si="0"/>
        <v>796759.48261614447</v>
      </c>
      <c r="N16" s="188" t="str">
        <f t="shared" si="1"/>
        <v>NO</v>
      </c>
      <c r="O16" s="189">
        <f t="shared" si="2"/>
        <v>16270.053599478459</v>
      </c>
      <c r="P16" s="187">
        <f t="shared" si="3"/>
        <v>31870.379304645779</v>
      </c>
      <c r="Q16" s="187">
        <f t="shared" si="4"/>
        <v>1355.8377999565382</v>
      </c>
      <c r="R16" s="3">
        <f t="shared" si="5"/>
        <v>48140.432904124238</v>
      </c>
    </row>
    <row r="17" spans="1:18" ht="15.75" thickBot="1" x14ac:dyDescent="0.3">
      <c r="A17" s="194" t="s">
        <v>246</v>
      </c>
      <c r="B17" s="198">
        <f>B16/12</f>
        <v>2158.6094331015938</v>
      </c>
      <c r="H17" s="188">
        <f t="shared" si="6"/>
        <v>41</v>
      </c>
      <c r="I17" s="189">
        <f t="shared" si="7"/>
        <v>796759.48261614447</v>
      </c>
      <c r="J17" s="189">
        <f t="shared" si="8"/>
        <v>20000</v>
      </c>
      <c r="K17" s="189">
        <f t="shared" si="9"/>
        <v>31770.053599478459</v>
      </c>
      <c r="L17" s="189">
        <f t="shared" si="10"/>
        <v>68040.107198956917</v>
      </c>
      <c r="M17" s="189">
        <f t="shared" si="0"/>
        <v>848529.53621562291</v>
      </c>
      <c r="N17" s="188" t="str">
        <f t="shared" si="1"/>
        <v>NO</v>
      </c>
      <c r="O17" s="189">
        <f t="shared" si="2"/>
        <v>17327.212711216554</v>
      </c>
      <c r="P17" s="187">
        <f t="shared" si="3"/>
        <v>33941.18144862492</v>
      </c>
      <c r="Q17" s="187">
        <f t="shared" si="4"/>
        <v>1443.9343926013796</v>
      </c>
      <c r="R17" s="3">
        <f t="shared" si="5"/>
        <v>51268.394159841475</v>
      </c>
    </row>
    <row r="18" spans="1:18" x14ac:dyDescent="0.25">
      <c r="H18" s="188">
        <f t="shared" si="6"/>
        <v>42</v>
      </c>
      <c r="I18" s="189">
        <f t="shared" si="7"/>
        <v>848529.53621562291</v>
      </c>
      <c r="J18" s="189">
        <f t="shared" si="8"/>
        <v>20000</v>
      </c>
      <c r="K18" s="189">
        <f t="shared" si="9"/>
        <v>32827.212711216554</v>
      </c>
      <c r="L18" s="189">
        <f t="shared" si="10"/>
        <v>70154.425422433109</v>
      </c>
      <c r="M18" s="189">
        <f t="shared" si="0"/>
        <v>901356.74892683944</v>
      </c>
      <c r="N18" s="188" t="str">
        <f t="shared" si="1"/>
        <v>NO</v>
      </c>
      <c r="O18" s="189">
        <f t="shared" si="2"/>
        <v>18405.959310504441</v>
      </c>
      <c r="P18" s="187">
        <f t="shared" si="3"/>
        <v>36054.269957073579</v>
      </c>
      <c r="Q18" s="187">
        <f t="shared" si="4"/>
        <v>1533.8299425420366</v>
      </c>
      <c r="R18" s="3">
        <f t="shared" si="5"/>
        <v>54460.229267578019</v>
      </c>
    </row>
    <row r="19" spans="1:18" x14ac:dyDescent="0.25">
      <c r="H19" s="188">
        <f t="shared" si="6"/>
        <v>43</v>
      </c>
      <c r="I19" s="189">
        <f t="shared" si="7"/>
        <v>901356.74892683944</v>
      </c>
      <c r="J19" s="189">
        <f t="shared" si="8"/>
        <v>20000</v>
      </c>
      <c r="K19" s="189">
        <f t="shared" si="9"/>
        <v>33905.959310504441</v>
      </c>
      <c r="L19" s="189">
        <f t="shared" si="10"/>
        <v>72311.918621008881</v>
      </c>
      <c r="M19" s="189">
        <f t="shared" si="0"/>
        <v>955262.70823734393</v>
      </c>
      <c r="N19" s="188" t="str">
        <f t="shared" si="1"/>
        <v>NO</v>
      </c>
      <c r="O19" s="189">
        <f t="shared" si="2"/>
        <v>19506.734219933103</v>
      </c>
      <c r="P19" s="187">
        <f t="shared" si="3"/>
        <v>38210.508329493758</v>
      </c>
      <c r="Q19" s="187">
        <f t="shared" si="4"/>
        <v>1625.5611849944253</v>
      </c>
      <c r="R19" s="3">
        <f t="shared" si="5"/>
        <v>57717.242549426861</v>
      </c>
    </row>
    <row r="20" spans="1:18" x14ac:dyDescent="0.25">
      <c r="H20" s="188">
        <f t="shared" si="6"/>
        <v>44</v>
      </c>
      <c r="I20" s="189">
        <f t="shared" si="7"/>
        <v>955262.70823734393</v>
      </c>
      <c r="J20" s="189">
        <f t="shared" si="8"/>
        <v>20000</v>
      </c>
      <c r="K20" s="189">
        <f t="shared" si="9"/>
        <v>35006.734219933103</v>
      </c>
      <c r="L20" s="189">
        <f t="shared" si="10"/>
        <v>74513.468439866207</v>
      </c>
      <c r="M20" s="189">
        <f t="shared" si="0"/>
        <v>1010269.4424572771</v>
      </c>
      <c r="N20" s="188" t="str">
        <f>IF(R20&gt;$B$13, "YES", "NO")</f>
        <v>YES</v>
      </c>
      <c r="O20" s="189">
        <f t="shared" si="2"/>
        <v>20629.987263815285</v>
      </c>
      <c r="P20" s="187">
        <f t="shared" si="3"/>
        <v>40410.777698291087</v>
      </c>
      <c r="Q20" s="187">
        <f t="shared" si="4"/>
        <v>1719.1656053179404</v>
      </c>
      <c r="R20" s="3">
        <f t="shared" si="5"/>
        <v>61040.764962106376</v>
      </c>
    </row>
    <row r="21" spans="1:18" x14ac:dyDescent="0.25">
      <c r="H21" s="188">
        <f t="shared" si="6"/>
        <v>45</v>
      </c>
      <c r="I21" s="189">
        <f t="shared" si="7"/>
        <v>1010269.4424572771</v>
      </c>
      <c r="J21" s="189">
        <f t="shared" si="8"/>
        <v>20000</v>
      </c>
      <c r="K21" s="189">
        <f t="shared" si="9"/>
        <v>36129.987263815288</v>
      </c>
      <c r="L21" s="189">
        <f t="shared" si="10"/>
        <v>76759.974527630577</v>
      </c>
      <c r="M21" s="189">
        <f t="shared" si="0"/>
        <v>1066399.4297210923</v>
      </c>
      <c r="N21" s="188" t="str">
        <f t="shared" ref="N21:N41" si="11">IF(R21&gt;$B$13, "YES", "NO")</f>
        <v>YES</v>
      </c>
      <c r="O21" s="189">
        <f t="shared" si="2"/>
        <v>21776.177452003216</v>
      </c>
      <c r="P21" s="187">
        <f t="shared" si="3"/>
        <v>42655.977188843695</v>
      </c>
      <c r="Q21" s="187">
        <f t="shared" si="4"/>
        <v>1814.6814543336013</v>
      </c>
      <c r="R21" s="3">
        <f t="shared" si="5"/>
        <v>64432.154640846915</v>
      </c>
    </row>
    <row r="22" spans="1:18" x14ac:dyDescent="0.25">
      <c r="H22" s="188">
        <f t="shared" si="6"/>
        <v>46</v>
      </c>
      <c r="I22" s="189">
        <f t="shared" si="7"/>
        <v>1066399.4297210923</v>
      </c>
      <c r="J22" s="189">
        <f t="shared" si="8"/>
        <v>20000</v>
      </c>
      <c r="K22" s="189">
        <f t="shared" si="9"/>
        <v>37276.17745200322</v>
      </c>
      <c r="L22" s="189">
        <f t="shared" si="10"/>
        <v>79052.354904006439</v>
      </c>
      <c r="M22" s="189">
        <f t="shared" si="0"/>
        <v>1123675.6071730955</v>
      </c>
      <c r="N22" s="188" t="str">
        <f t="shared" si="11"/>
        <v>YES</v>
      </c>
      <c r="O22" s="189">
        <f t="shared" si="2"/>
        <v>22945.773167459905</v>
      </c>
      <c r="P22" s="187">
        <f t="shared" si="3"/>
        <v>44947.024286923821</v>
      </c>
      <c r="Q22" s="187">
        <f t="shared" si="4"/>
        <v>1912.1477639549921</v>
      </c>
      <c r="R22" s="3">
        <f t="shared" si="5"/>
        <v>67892.797454383719</v>
      </c>
    </row>
    <row r="23" spans="1:18" x14ac:dyDescent="0.25">
      <c r="H23" s="188">
        <f t="shared" si="6"/>
        <v>47</v>
      </c>
      <c r="I23" s="189">
        <f t="shared" si="7"/>
        <v>1123675.6071730955</v>
      </c>
      <c r="J23" s="189">
        <f t="shared" si="8"/>
        <v>20000</v>
      </c>
      <c r="K23" s="189">
        <f t="shared" si="9"/>
        <v>38445.773167459905</v>
      </c>
      <c r="L23" s="189">
        <f t="shared" si="10"/>
        <v>81391.546334919811</v>
      </c>
      <c r="M23" s="189">
        <f t="shared" si="0"/>
        <v>1182121.3803405554</v>
      </c>
      <c r="N23" s="188" t="str">
        <f t="shared" si="11"/>
        <v>YES</v>
      </c>
      <c r="O23" s="189">
        <f t="shared" si="2"/>
        <v>24139.252357660716</v>
      </c>
      <c r="P23" s="187">
        <f t="shared" si="3"/>
        <v>47284.855213622221</v>
      </c>
      <c r="Q23" s="187">
        <f t="shared" si="4"/>
        <v>2011.604363138393</v>
      </c>
      <c r="R23" s="3">
        <f t="shared" si="5"/>
        <v>71424.107571282933</v>
      </c>
    </row>
    <row r="24" spans="1:18" x14ac:dyDescent="0.25">
      <c r="H24" s="188">
        <f>H23+1</f>
        <v>48</v>
      </c>
      <c r="I24" s="189">
        <f>M23</f>
        <v>1182121.3803405554</v>
      </c>
      <c r="J24" s="189">
        <f t="shared" si="8"/>
        <v>20000</v>
      </c>
      <c r="K24" s="189">
        <f t="shared" si="9"/>
        <v>39639.25235766072</v>
      </c>
      <c r="L24" s="189">
        <f t="shared" si="10"/>
        <v>83778.50471532144</v>
      </c>
      <c r="M24" s="189">
        <f t="shared" si="0"/>
        <v>1241760.6326982162</v>
      </c>
      <c r="N24" s="188" t="str">
        <f t="shared" si="11"/>
        <v>YES</v>
      </c>
      <c r="O24" s="189">
        <f t="shared" si="2"/>
        <v>25357.102729903407</v>
      </c>
      <c r="P24" s="187">
        <f>M24*$B$4</f>
        <v>49670.42530792865</v>
      </c>
      <c r="Q24" s="187">
        <f t="shared" si="4"/>
        <v>2113.0918941586174</v>
      </c>
      <c r="R24" s="3">
        <f t="shared" si="5"/>
        <v>75027.52803783206</v>
      </c>
    </row>
    <row r="25" spans="1:18" x14ac:dyDescent="0.25">
      <c r="H25" s="188">
        <f t="shared" ref="H25:H33" si="12">H24+1</f>
        <v>49</v>
      </c>
      <c r="I25" s="189">
        <f t="shared" si="7"/>
        <v>1241760.6326982162</v>
      </c>
      <c r="J25" s="189">
        <f t="shared" si="8"/>
        <v>20000</v>
      </c>
      <c r="K25" s="189">
        <f t="shared" si="9"/>
        <v>40857.102729903403</v>
      </c>
      <c r="L25" s="189">
        <f t="shared" si="10"/>
        <v>86214.205459806806</v>
      </c>
      <c r="M25" s="189">
        <f t="shared" si="0"/>
        <v>1302617.7354281195</v>
      </c>
      <c r="N25" s="188" t="str">
        <f t="shared" si="11"/>
        <v>YES</v>
      </c>
      <c r="O25" s="189">
        <f t="shared" si="2"/>
        <v>26599.821950606449</v>
      </c>
      <c r="P25" s="187">
        <f t="shared" si="3"/>
        <v>52104.709417124781</v>
      </c>
      <c r="Q25" s="187">
        <f t="shared" si="4"/>
        <v>2216.6518292172041</v>
      </c>
      <c r="R25" s="3">
        <f t="shared" si="5"/>
        <v>78704.531367731222</v>
      </c>
    </row>
    <row r="26" spans="1:18" x14ac:dyDescent="0.25">
      <c r="H26" s="188">
        <f t="shared" si="12"/>
        <v>50</v>
      </c>
      <c r="I26" s="189">
        <f t="shared" si="7"/>
        <v>1302617.7354281195</v>
      </c>
      <c r="J26" s="189">
        <f t="shared" si="8"/>
        <v>20000</v>
      </c>
      <c r="K26" s="189">
        <f t="shared" si="9"/>
        <v>42099.821950606449</v>
      </c>
      <c r="L26" s="189">
        <f t="shared" si="10"/>
        <v>88699.643901212898</v>
      </c>
      <c r="M26" s="189">
        <f t="shared" si="0"/>
        <v>1364717.5573787261</v>
      </c>
      <c r="N26" s="188" t="str">
        <f t="shared" si="11"/>
        <v>YES</v>
      </c>
      <c r="O26" s="189">
        <f t="shared" si="2"/>
        <v>27867.917848677112</v>
      </c>
      <c r="P26" s="187">
        <f t="shared" si="3"/>
        <v>54588.702295149043</v>
      </c>
      <c r="Q26" s="187">
        <f t="shared" si="4"/>
        <v>2322.3264873897592</v>
      </c>
      <c r="R26" s="3">
        <f t="shared" si="5"/>
        <v>82456.620143826149</v>
      </c>
    </row>
    <row r="27" spans="1:18" x14ac:dyDescent="0.25">
      <c r="H27" s="188">
        <f t="shared" si="12"/>
        <v>51</v>
      </c>
      <c r="I27" s="189">
        <f t="shared" si="7"/>
        <v>1364717.5573787261</v>
      </c>
      <c r="J27" s="189">
        <f t="shared" si="8"/>
        <v>20000</v>
      </c>
      <c r="K27" s="189">
        <f t="shared" si="9"/>
        <v>43367.917848677112</v>
      </c>
      <c r="L27" s="189">
        <f t="shared" si="10"/>
        <v>91235.835697354225</v>
      </c>
      <c r="M27" s="189">
        <f t="shared" si="0"/>
        <v>1428085.4752274032</v>
      </c>
      <c r="N27" s="188" t="str">
        <f t="shared" si="11"/>
        <v>YES</v>
      </c>
      <c r="O27" s="189">
        <f t="shared" si="2"/>
        <v>29161.908623032326</v>
      </c>
      <c r="P27" s="187">
        <f t="shared" si="3"/>
        <v>57123.419009096127</v>
      </c>
      <c r="Q27" s="187">
        <f t="shared" si="4"/>
        <v>2430.1590519193605</v>
      </c>
      <c r="R27" s="3">
        <f t="shared" si="5"/>
        <v>86285.32763212845</v>
      </c>
    </row>
    <row r="28" spans="1:18" x14ac:dyDescent="0.25">
      <c r="H28" s="188">
        <f t="shared" si="12"/>
        <v>52</v>
      </c>
      <c r="I28" s="189">
        <f t="shared" si="7"/>
        <v>1428085.4752274032</v>
      </c>
      <c r="J28" s="189">
        <f t="shared" si="8"/>
        <v>20000</v>
      </c>
      <c r="K28" s="189">
        <f t="shared" si="9"/>
        <v>44661.90862303233</v>
      </c>
      <c r="L28" s="189">
        <f t="shared" si="10"/>
        <v>93823.81724606466</v>
      </c>
      <c r="M28" s="189">
        <f t="shared" si="0"/>
        <v>1492747.3838504355</v>
      </c>
      <c r="N28" s="188" t="str">
        <f t="shared" si="11"/>
        <v>YES</v>
      </c>
      <c r="O28" s="189">
        <f t="shared" si="2"/>
        <v>30482.323054357221</v>
      </c>
      <c r="P28" s="187">
        <f t="shared" si="3"/>
        <v>59709.895354017419</v>
      </c>
      <c r="Q28" s="187">
        <f t="shared" si="4"/>
        <v>2540.1935878631016</v>
      </c>
      <c r="R28" s="3">
        <f t="shared" si="5"/>
        <v>90192.21840837464</v>
      </c>
    </row>
    <row r="29" spans="1:18" x14ac:dyDescent="0.25">
      <c r="H29" s="188">
        <f t="shared" si="12"/>
        <v>53</v>
      </c>
      <c r="I29" s="189">
        <f t="shared" si="7"/>
        <v>1492747.3838504355</v>
      </c>
      <c r="J29" s="189">
        <f t="shared" si="8"/>
        <v>20000</v>
      </c>
      <c r="K29" s="189">
        <f t="shared" si="9"/>
        <v>45982.323054357221</v>
      </c>
      <c r="L29" s="189">
        <f t="shared" si="10"/>
        <v>96464.646108714456</v>
      </c>
      <c r="M29" s="189">
        <f t="shared" si="0"/>
        <v>1558729.7069047927</v>
      </c>
      <c r="N29" s="188" t="str">
        <f t="shared" si="11"/>
        <v>YES</v>
      </c>
      <c r="O29" s="189">
        <f t="shared" si="2"/>
        <v>31829.700721187819</v>
      </c>
      <c r="P29" s="187">
        <f t="shared" si="3"/>
        <v>62349.188276191708</v>
      </c>
      <c r="Q29" s="187">
        <f t="shared" si="4"/>
        <v>2652.4750600989851</v>
      </c>
      <c r="R29" s="3">
        <f t="shared" si="5"/>
        <v>94178.88899737953</v>
      </c>
    </row>
    <row r="30" spans="1:18" x14ac:dyDescent="0.25">
      <c r="H30" s="188">
        <f t="shared" si="12"/>
        <v>54</v>
      </c>
      <c r="I30" s="189">
        <f t="shared" si="7"/>
        <v>1558729.7069047927</v>
      </c>
      <c r="J30" s="189">
        <f t="shared" si="8"/>
        <v>20000</v>
      </c>
      <c r="K30" s="189">
        <f t="shared" si="9"/>
        <v>47329.700721187823</v>
      </c>
      <c r="L30" s="189">
        <f t="shared" si="10"/>
        <v>99159.401442375645</v>
      </c>
      <c r="M30" s="189">
        <f t="shared" si="0"/>
        <v>1626059.4076259804</v>
      </c>
      <c r="N30" s="188" t="str">
        <f t="shared" si="11"/>
        <v>YES</v>
      </c>
      <c r="O30" s="189">
        <f t="shared" si="2"/>
        <v>33204.592220406194</v>
      </c>
      <c r="P30" s="187">
        <f t="shared" si="3"/>
        <v>65042.376305039223</v>
      </c>
      <c r="Q30" s="187">
        <f t="shared" si="4"/>
        <v>2767.0493517005161</v>
      </c>
      <c r="R30" s="3">
        <f t="shared" si="5"/>
        <v>98246.968525445409</v>
      </c>
    </row>
    <row r="31" spans="1:18" x14ac:dyDescent="0.25">
      <c r="H31" s="188">
        <f t="shared" si="12"/>
        <v>55</v>
      </c>
      <c r="I31" s="189">
        <f t="shared" si="7"/>
        <v>1626059.4076259804</v>
      </c>
      <c r="J31" s="189">
        <f t="shared" si="8"/>
        <v>20000</v>
      </c>
      <c r="K31" s="189">
        <f t="shared" si="9"/>
        <v>48704.592220406194</v>
      </c>
      <c r="L31" s="189">
        <f t="shared" si="10"/>
        <v>101909.18444081239</v>
      </c>
      <c r="M31" s="189">
        <f t="shared" si="0"/>
        <v>1694763.9998463867</v>
      </c>
      <c r="N31" s="188" t="str">
        <f t="shared" si="11"/>
        <v>YES</v>
      </c>
      <c r="O31" s="189">
        <f t="shared" si="2"/>
        <v>34607.559392238218</v>
      </c>
      <c r="P31" s="187">
        <f t="shared" si="3"/>
        <v>67790.559993855466</v>
      </c>
      <c r="Q31" s="187">
        <f t="shared" si="4"/>
        <v>2883.9632826865181</v>
      </c>
      <c r="R31" s="3">
        <f t="shared" si="5"/>
        <v>102398.11938609369</v>
      </c>
    </row>
    <row r="32" spans="1:18" x14ac:dyDescent="0.25">
      <c r="H32" s="188">
        <f t="shared" si="12"/>
        <v>56</v>
      </c>
      <c r="I32" s="189">
        <f t="shared" si="7"/>
        <v>1694763.9998463867</v>
      </c>
      <c r="J32" s="189">
        <f t="shared" si="8"/>
        <v>20000</v>
      </c>
      <c r="K32" s="189">
        <f t="shared" si="9"/>
        <v>50107.559392238218</v>
      </c>
      <c r="L32" s="189">
        <f t="shared" si="10"/>
        <v>104715.11878447642</v>
      </c>
      <c r="M32" s="189">
        <f t="shared" si="0"/>
        <v>1764871.559238625</v>
      </c>
      <c r="N32" s="188" t="str">
        <f t="shared" si="11"/>
        <v>YES</v>
      </c>
      <c r="O32" s="189">
        <f t="shared" si="2"/>
        <v>36039.175549845808</v>
      </c>
      <c r="P32" s="187">
        <f t="shared" si="3"/>
        <v>70594.862369545008</v>
      </c>
      <c r="Q32" s="187">
        <f t="shared" si="4"/>
        <v>3003.2646291538172</v>
      </c>
      <c r="R32" s="3">
        <f t="shared" si="5"/>
        <v>106634.03791939082</v>
      </c>
    </row>
    <row r="33" spans="8:18" x14ac:dyDescent="0.25">
      <c r="H33" s="188">
        <f t="shared" si="12"/>
        <v>57</v>
      </c>
      <c r="I33" s="189">
        <f t="shared" si="7"/>
        <v>1764871.559238625</v>
      </c>
      <c r="J33" s="189">
        <f t="shared" si="8"/>
        <v>20000</v>
      </c>
      <c r="K33" s="189">
        <f t="shared" si="9"/>
        <v>51539.175549845808</v>
      </c>
      <c r="L33" s="189">
        <f t="shared" si="10"/>
        <v>107578.35109969162</v>
      </c>
      <c r="M33" s="189">
        <f t="shared" si="0"/>
        <v>1836410.7347884709</v>
      </c>
      <c r="N33" s="188" t="str">
        <f t="shared" si="11"/>
        <v>YES</v>
      </c>
      <c r="O33" s="189">
        <f t="shared" si="2"/>
        <v>37500.025713607523</v>
      </c>
      <c r="P33" s="187">
        <f t="shared" si="3"/>
        <v>73456.429391538841</v>
      </c>
      <c r="Q33" s="187">
        <f t="shared" si="4"/>
        <v>3125.0021428006271</v>
      </c>
      <c r="R33" s="3">
        <f t="shared" si="5"/>
        <v>110956.45510514636</v>
      </c>
    </row>
    <row r="34" spans="8:18" x14ac:dyDescent="0.25">
      <c r="H34" s="188">
        <f t="shared" ref="H34:H41" si="13">H33+1</f>
        <v>58</v>
      </c>
      <c r="I34" s="189">
        <f>M33</f>
        <v>1836410.7347884709</v>
      </c>
      <c r="J34" s="189">
        <f t="shared" si="8"/>
        <v>20000</v>
      </c>
      <c r="K34" s="189">
        <f t="shared" si="9"/>
        <v>53000.025713607523</v>
      </c>
      <c r="L34" s="189">
        <f t="shared" si="10"/>
        <v>110500.05142721505</v>
      </c>
      <c r="M34" s="189">
        <f t="shared" si="0"/>
        <v>1909410.7605020783</v>
      </c>
      <c r="N34" s="188" t="str">
        <f t="shared" si="11"/>
        <v>YES</v>
      </c>
      <c r="O34" s="189">
        <f t="shared" si="2"/>
        <v>38990.706850183218</v>
      </c>
      <c r="P34" s="187">
        <f t="shared" si="3"/>
        <v>76376.430420083139</v>
      </c>
      <c r="Q34" s="187">
        <f t="shared" si="4"/>
        <v>3249.2255708486014</v>
      </c>
      <c r="R34" s="3">
        <f t="shared" si="5"/>
        <v>115367.13727026636</v>
      </c>
    </row>
    <row r="35" spans="8:18" x14ac:dyDescent="0.25">
      <c r="H35" s="188">
        <f t="shared" si="13"/>
        <v>59</v>
      </c>
      <c r="I35" s="189">
        <f t="shared" si="7"/>
        <v>1909410.7605020783</v>
      </c>
      <c r="J35" s="189">
        <f t="shared" si="8"/>
        <v>20000</v>
      </c>
      <c r="K35" s="189">
        <f t="shared" si="9"/>
        <v>54490.706850183218</v>
      </c>
      <c r="L35" s="189">
        <f t="shared" si="10"/>
        <v>113481.41370036645</v>
      </c>
      <c r="M35" s="189">
        <f t="shared" si="0"/>
        <v>1983901.4673522615</v>
      </c>
      <c r="N35" s="188" t="str">
        <f t="shared" si="11"/>
        <v>YES</v>
      </c>
      <c r="O35" s="189">
        <f t="shared" si="2"/>
        <v>40511.828116460521</v>
      </c>
      <c r="P35" s="187">
        <f t="shared" si="3"/>
        <v>79356.058694090461</v>
      </c>
      <c r="Q35" s="187">
        <f t="shared" si="4"/>
        <v>3375.9856763717103</v>
      </c>
      <c r="R35" s="3">
        <f t="shared" si="5"/>
        <v>119867.88681055099</v>
      </c>
    </row>
    <row r="36" spans="8:18" x14ac:dyDescent="0.25">
      <c r="H36" s="188">
        <f t="shared" si="13"/>
        <v>60</v>
      </c>
      <c r="I36" s="189">
        <f t="shared" si="7"/>
        <v>1983901.4673522615</v>
      </c>
      <c r="J36" s="189">
        <f t="shared" si="8"/>
        <v>20000</v>
      </c>
      <c r="K36" s="189">
        <f t="shared" si="9"/>
        <v>56011.828116460521</v>
      </c>
      <c r="L36" s="189">
        <f t="shared" si="10"/>
        <v>116523.65623292106</v>
      </c>
      <c r="M36" s="189">
        <f t="shared" si="0"/>
        <v>2059913.295468722</v>
      </c>
      <c r="N36" s="188" t="str">
        <f t="shared" si="11"/>
        <v>YES</v>
      </c>
      <c r="O36" s="189">
        <f t="shared" si="2"/>
        <v>42064.011108482686</v>
      </c>
      <c r="P36" s="187">
        <f t="shared" si="3"/>
        <v>82396.531818748888</v>
      </c>
      <c r="Q36" s="187">
        <f t="shared" si="4"/>
        <v>3505.334259040224</v>
      </c>
      <c r="R36" s="3">
        <f t="shared" si="5"/>
        <v>124460.54292723158</v>
      </c>
    </row>
    <row r="37" spans="8:18" x14ac:dyDescent="0.25">
      <c r="H37" s="188">
        <f t="shared" si="13"/>
        <v>61</v>
      </c>
      <c r="I37" s="189">
        <f t="shared" si="7"/>
        <v>2059913.295468722</v>
      </c>
      <c r="J37" s="189">
        <f t="shared" si="8"/>
        <v>20000</v>
      </c>
      <c r="K37" s="189">
        <f t="shared" si="9"/>
        <v>57564.011108482686</v>
      </c>
      <c r="L37" s="189">
        <f t="shared" si="10"/>
        <v>119628.02221696539</v>
      </c>
      <c r="M37" s="189">
        <f t="shared" si="0"/>
        <v>2137477.3065772047</v>
      </c>
      <c r="N37" s="188" t="str">
        <f t="shared" si="11"/>
        <v>YES</v>
      </c>
      <c r="O37" s="189">
        <f t="shared" si="2"/>
        <v>43647.890115459668</v>
      </c>
      <c r="P37" s="187">
        <f t="shared" si="3"/>
        <v>85499.092263088198</v>
      </c>
      <c r="Q37" s="187">
        <f t="shared" si="4"/>
        <v>3637.3241762883058</v>
      </c>
      <c r="R37" s="3">
        <f t="shared" si="5"/>
        <v>129146.98237854787</v>
      </c>
    </row>
    <row r="38" spans="8:18" x14ac:dyDescent="0.25">
      <c r="H38" s="188">
        <f t="shared" si="13"/>
        <v>62</v>
      </c>
      <c r="I38" s="189">
        <f t="shared" si="7"/>
        <v>2137477.3065772047</v>
      </c>
      <c r="J38" s="189">
        <f>IF(($F$1*((1+$F$3)^(H38-$H$2)))*$F$2*2 &lt; 20000, ($F$1*((1+$F$3)^(H38-$H$2)))*$F$2*2, 20000)</f>
        <v>20000</v>
      </c>
      <c r="K38" s="189">
        <f t="shared" si="9"/>
        <v>59147.890115459668</v>
      </c>
      <c r="L38" s="189">
        <f t="shared" si="10"/>
        <v>122795.78023091934</v>
      </c>
      <c r="M38" s="189">
        <f t="shared" si="0"/>
        <v>2216625.1966926642</v>
      </c>
      <c r="N38" s="188" t="str">
        <f t="shared" si="11"/>
        <v>YES</v>
      </c>
      <c r="O38" s="189">
        <f>M38*$B$8</f>
        <v>45264.112378966202</v>
      </c>
      <c r="P38" s="187">
        <f t="shared" si="3"/>
        <v>88665.007867706576</v>
      </c>
      <c r="Q38" s="187">
        <f t="shared" si="4"/>
        <v>3772.0093649138503</v>
      </c>
      <c r="R38" s="3">
        <f t="shared" si="5"/>
        <v>133929.12024667277</v>
      </c>
    </row>
    <row r="39" spans="8:18" x14ac:dyDescent="0.25">
      <c r="H39" s="188">
        <f t="shared" si="13"/>
        <v>63</v>
      </c>
      <c r="I39" s="189">
        <f t="shared" si="7"/>
        <v>2216625.1966926642</v>
      </c>
      <c r="J39" s="189">
        <f>IF(($F$1*((1+$F$3)^(H39-$H$2)))*$F$2*2 &lt; 20000, ($F$1*((1+$F$3)^(H39-$H$2)))*$F$2*2, 20000)</f>
        <v>20000</v>
      </c>
      <c r="K39" s="189">
        <f t="shared" si="9"/>
        <v>60764.112378966202</v>
      </c>
      <c r="L39" s="189">
        <f t="shared" si="10"/>
        <v>126028.22475793242</v>
      </c>
      <c r="M39" s="189">
        <f t="shared" si="0"/>
        <v>2297389.3090716302</v>
      </c>
      <c r="N39" s="188" t="str">
        <f t="shared" si="11"/>
        <v>YES</v>
      </c>
      <c r="O39" s="189">
        <f>M39*$B$8</f>
        <v>46913.338357432709</v>
      </c>
      <c r="P39" s="187">
        <f t="shared" si="3"/>
        <v>91895.572362865205</v>
      </c>
      <c r="Q39" s="187">
        <f t="shared" si="4"/>
        <v>3909.4448631193923</v>
      </c>
      <c r="R39" s="3">
        <f t="shared" si="5"/>
        <v>138808.91072029792</v>
      </c>
    </row>
    <row r="40" spans="8:18" x14ac:dyDescent="0.25">
      <c r="H40" s="188">
        <f t="shared" si="13"/>
        <v>64</v>
      </c>
      <c r="I40" s="189">
        <f t="shared" si="7"/>
        <v>2297389.3090716302</v>
      </c>
      <c r="J40" s="189">
        <f>IF(($F$1*((1+$F$3)^(H40-$H$2)))*$F$2*2 &lt; 20000, ($F$1*((1+$F$3)^(H40-$H$2)))*$F$2*2, 20000)</f>
        <v>20000</v>
      </c>
      <c r="K40" s="189">
        <f t="shared" si="9"/>
        <v>62413.338357432709</v>
      </c>
      <c r="L40" s="189">
        <f t="shared" si="10"/>
        <v>129326.67671486543</v>
      </c>
      <c r="M40" s="189">
        <f t="shared" si="0"/>
        <v>2379802.647429063</v>
      </c>
      <c r="N40" s="188" t="str">
        <f t="shared" si="11"/>
        <v>YES</v>
      </c>
      <c r="O40" s="189">
        <f>M40*$B$8</f>
        <v>48596.24199603725</v>
      </c>
      <c r="P40" s="187">
        <f t="shared" si="3"/>
        <v>95192.105897162517</v>
      </c>
      <c r="Q40" s="187">
        <f t="shared" si="4"/>
        <v>4049.6868330031043</v>
      </c>
      <c r="R40" s="3">
        <f t="shared" si="5"/>
        <v>143788.34789319977</v>
      </c>
    </row>
    <row r="41" spans="8:18" x14ac:dyDescent="0.25">
      <c r="H41" s="188">
        <f t="shared" si="13"/>
        <v>65</v>
      </c>
      <c r="I41" s="189">
        <f t="shared" si="7"/>
        <v>2379802.647429063</v>
      </c>
      <c r="J41" s="189">
        <f>IF(($F$1*((1+$F$3)^(H41-$H$2)))*$F$2*2 &lt; 20000, ($F$1*((1+$F$3)^(H41-$H$2)))*$F$2*2, 20000)</f>
        <v>20000</v>
      </c>
      <c r="K41" s="189">
        <f t="shared" si="9"/>
        <v>64096.24199603725</v>
      </c>
      <c r="L41" s="189">
        <f t="shared" si="10"/>
        <v>132692.4839920745</v>
      </c>
      <c r="M41" s="189">
        <f t="shared" si="0"/>
        <v>2463898.8894251003</v>
      </c>
      <c r="N41" s="188" t="str">
        <f t="shared" si="11"/>
        <v>YES</v>
      </c>
      <c r="O41" s="189">
        <f>M41*$B$8</f>
        <v>50313.511002108717</v>
      </c>
      <c r="P41" s="187">
        <f t="shared" si="3"/>
        <v>98555.955577004017</v>
      </c>
      <c r="Q41" s="187">
        <f t="shared" si="4"/>
        <v>4192.79258350906</v>
      </c>
      <c r="R41" s="3">
        <f t="shared" si="5"/>
        <v>148869.46657911275</v>
      </c>
    </row>
  </sheetData>
  <mergeCells count="2">
    <mergeCell ref="D1:D3"/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Normal="100" workbookViewId="0">
      <selection activeCell="L22" sqref="L22"/>
    </sheetView>
  </sheetViews>
  <sheetFormatPr defaultRowHeight="15" x14ac:dyDescent="0.25"/>
  <cols>
    <col min="1" max="1" width="1.42578125" customWidth="1"/>
    <col min="7" max="7" width="2.5703125" customWidth="1"/>
    <col min="8" max="8" width="1.42578125" customWidth="1"/>
    <col min="11" max="11" width="2.28515625" customWidth="1"/>
  </cols>
  <sheetData>
    <row r="1" spans="1:12" ht="9" customHeight="1" thickBot="1" x14ac:dyDescent="0.3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2" x14ac:dyDescent="0.25">
      <c r="A2" s="182"/>
      <c r="B2" s="164" t="s">
        <v>207</v>
      </c>
      <c r="C2" s="165"/>
      <c r="D2" s="165"/>
      <c r="E2" s="165"/>
      <c r="F2" s="165"/>
      <c r="G2" s="166"/>
      <c r="H2" s="179"/>
      <c r="I2" s="164"/>
      <c r="J2" s="165"/>
      <c r="K2" s="166"/>
      <c r="L2" s="182"/>
    </row>
    <row r="3" spans="1:12" ht="7.5" customHeight="1" x14ac:dyDescent="0.25">
      <c r="A3" s="182"/>
      <c r="B3" s="167"/>
      <c r="C3" s="10"/>
      <c r="D3" s="10"/>
      <c r="E3" s="10"/>
      <c r="F3" s="10"/>
      <c r="G3" s="168"/>
      <c r="H3" s="180"/>
      <c r="I3" s="167"/>
      <c r="J3" s="10"/>
      <c r="K3" s="168"/>
      <c r="L3" s="182"/>
    </row>
    <row r="4" spans="1:12" x14ac:dyDescent="0.25">
      <c r="A4" s="182"/>
      <c r="B4" s="167" t="s">
        <v>208</v>
      </c>
      <c r="C4" s="10" t="s">
        <v>86</v>
      </c>
      <c r="D4" s="10"/>
      <c r="E4" s="184" t="s">
        <v>210</v>
      </c>
      <c r="F4" s="10"/>
      <c r="G4" s="168"/>
      <c r="H4" s="180"/>
      <c r="I4" s="185" t="s">
        <v>211</v>
      </c>
      <c r="J4" s="10"/>
      <c r="K4" s="168"/>
      <c r="L4" s="182"/>
    </row>
    <row r="5" spans="1:12" x14ac:dyDescent="0.25">
      <c r="A5" s="182"/>
      <c r="B5" s="167"/>
      <c r="C5" s="10"/>
      <c r="D5" s="10"/>
      <c r="E5" s="172">
        <v>0</v>
      </c>
      <c r="F5" s="11">
        <f>C7</f>
        <v>57.78</v>
      </c>
      <c r="G5" s="175"/>
      <c r="H5" s="180"/>
      <c r="I5" s="177">
        <v>0</v>
      </c>
      <c r="J5" s="11">
        <f>C6</f>
        <v>41.08</v>
      </c>
      <c r="K5" s="175"/>
      <c r="L5" s="182"/>
    </row>
    <row r="6" spans="1:12" x14ac:dyDescent="0.25">
      <c r="A6" s="182"/>
      <c r="B6" s="183" t="s">
        <v>206</v>
      </c>
      <c r="C6" s="10">
        <v>41.08</v>
      </c>
      <c r="D6" s="10"/>
      <c r="E6" s="173">
        <v>0.236068</v>
      </c>
      <c r="F6" s="11">
        <f>$F$5-(E6*$C$8)</f>
        <v>53.837664400000001</v>
      </c>
      <c r="G6" s="175"/>
      <c r="H6" s="180"/>
      <c r="I6" s="178">
        <f>E6</f>
        <v>0.236068</v>
      </c>
      <c r="J6" s="11">
        <f>$F$11+(I6*$C$8)</f>
        <v>45.022335599999998</v>
      </c>
      <c r="K6" s="175"/>
      <c r="L6" s="182"/>
    </row>
    <row r="7" spans="1:12" x14ac:dyDescent="0.25">
      <c r="A7" s="182"/>
      <c r="B7" s="183" t="s">
        <v>205</v>
      </c>
      <c r="C7" s="10">
        <v>57.78</v>
      </c>
      <c r="D7" s="10"/>
      <c r="E7" s="176">
        <v>0.38196600000000003</v>
      </c>
      <c r="F7" s="11">
        <f>$F$5-(E7*$C$8)</f>
        <v>51.401167799999996</v>
      </c>
      <c r="G7" s="175"/>
      <c r="H7" s="180"/>
      <c r="I7" s="178">
        <f>E7</f>
        <v>0.38196600000000003</v>
      </c>
      <c r="J7" s="11">
        <f>$F$11+(I7*$C$8)</f>
        <v>47.458832200000003</v>
      </c>
      <c r="K7" s="175"/>
      <c r="L7" s="182"/>
    </row>
    <row r="8" spans="1:12" x14ac:dyDescent="0.25">
      <c r="A8" s="182"/>
      <c r="B8" s="183" t="s">
        <v>209</v>
      </c>
      <c r="C8" s="10">
        <f>C7-C6</f>
        <v>16.700000000000003</v>
      </c>
      <c r="D8" s="10"/>
      <c r="E8" s="174">
        <v>0.5</v>
      </c>
      <c r="F8" s="11">
        <f>$F$5-(E8*$C$8)</f>
        <v>49.43</v>
      </c>
      <c r="G8" s="175"/>
      <c r="H8" s="180"/>
      <c r="I8" s="178">
        <f>E8</f>
        <v>0.5</v>
      </c>
      <c r="J8" s="11">
        <f>$F$11+(I8*$C$8)</f>
        <v>49.43</v>
      </c>
      <c r="K8" s="175"/>
      <c r="L8" s="182"/>
    </row>
    <row r="9" spans="1:12" x14ac:dyDescent="0.25">
      <c r="A9" s="182"/>
      <c r="B9" s="167"/>
      <c r="C9" s="10"/>
      <c r="D9" s="10"/>
      <c r="E9" s="173">
        <v>0.61803399999999997</v>
      </c>
      <c r="F9" s="11">
        <f>$F$5-(E9*$C$8)</f>
        <v>47.458832200000003</v>
      </c>
      <c r="G9" s="175"/>
      <c r="H9" s="180"/>
      <c r="I9" s="178">
        <f>E9</f>
        <v>0.61803399999999997</v>
      </c>
      <c r="J9" s="11">
        <f>$F$11+(I9*$C$8)</f>
        <v>51.401167799999996</v>
      </c>
      <c r="K9" s="175"/>
      <c r="L9" s="182"/>
    </row>
    <row r="10" spans="1:12" x14ac:dyDescent="0.25">
      <c r="A10" s="182"/>
      <c r="B10" s="167"/>
      <c r="C10" s="10"/>
      <c r="D10" s="10"/>
      <c r="E10" s="186">
        <v>0.76400000000000001</v>
      </c>
      <c r="F10" s="11">
        <f>$F$5-(E10*$C$8)</f>
        <v>45.0212</v>
      </c>
      <c r="G10" s="175"/>
      <c r="H10" s="180"/>
      <c r="I10" s="178">
        <f>E10</f>
        <v>0.76400000000000001</v>
      </c>
      <c r="J10" s="11">
        <f>$F$11+(I10*$C$8)</f>
        <v>53.838799999999999</v>
      </c>
      <c r="K10" s="175"/>
      <c r="L10" s="182"/>
    </row>
    <row r="11" spans="1:12" x14ac:dyDescent="0.25">
      <c r="A11" s="182"/>
      <c r="B11" s="167"/>
      <c r="C11" s="10"/>
      <c r="D11" s="10"/>
      <c r="E11" s="172">
        <v>1</v>
      </c>
      <c r="F11" s="11">
        <f>C6</f>
        <v>41.08</v>
      </c>
      <c r="G11" s="175"/>
      <c r="H11" s="180"/>
      <c r="I11" s="177">
        <v>1</v>
      </c>
      <c r="J11" s="11">
        <f>C7</f>
        <v>57.78</v>
      </c>
      <c r="K11" s="175"/>
      <c r="L11" s="182"/>
    </row>
    <row r="12" spans="1:12" x14ac:dyDescent="0.25">
      <c r="A12" s="182"/>
      <c r="B12" s="167"/>
      <c r="C12" s="10"/>
      <c r="D12" s="10"/>
      <c r="E12" s="173">
        <v>1.272</v>
      </c>
      <c r="F12" s="11">
        <f>$F$5-(E12*$C$8)</f>
        <v>36.537599999999998</v>
      </c>
      <c r="G12" s="175"/>
      <c r="H12" s="180"/>
      <c r="I12" s="177">
        <v>1.272</v>
      </c>
      <c r="J12" s="11">
        <f>$F$11+(I12*$C$8)</f>
        <v>62.322400000000002</v>
      </c>
      <c r="K12" s="175"/>
      <c r="L12" s="182"/>
    </row>
    <row r="13" spans="1:12" x14ac:dyDescent="0.25">
      <c r="A13" s="182"/>
      <c r="B13" s="167"/>
      <c r="C13" s="10"/>
      <c r="D13" s="10"/>
      <c r="E13" s="173">
        <v>1.6180000000000001</v>
      </c>
      <c r="F13" s="11">
        <f>$F$5-(E13*$C$8)</f>
        <v>30.759399999999996</v>
      </c>
      <c r="G13" s="175"/>
      <c r="H13" s="180"/>
      <c r="I13" s="177">
        <v>1.6180000000000001</v>
      </c>
      <c r="J13" s="11">
        <f>$F$11+(I13*$C$8)</f>
        <v>68.1006</v>
      </c>
      <c r="K13" s="175"/>
      <c r="L13" s="182"/>
    </row>
    <row r="14" spans="1:12" ht="15.75" thickBot="1" x14ac:dyDescent="0.3">
      <c r="A14" s="182"/>
      <c r="B14" s="169"/>
      <c r="C14" s="170"/>
      <c r="D14" s="170"/>
      <c r="E14" s="170"/>
      <c r="F14" s="170"/>
      <c r="G14" s="171"/>
      <c r="H14" s="181"/>
      <c r="I14" s="169"/>
      <c r="J14" s="170"/>
      <c r="K14" s="171"/>
      <c r="L14" s="182"/>
    </row>
    <row r="15" spans="1:12" x14ac:dyDescent="0.25">
      <c r="A15" s="182"/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</row>
  </sheetData>
  <printOptions heading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2"/>
  <sheetViews>
    <sheetView topLeftCell="D1" zoomScale="70" zoomScaleNormal="70" workbookViewId="0">
      <selection activeCell="L8" sqref="L8"/>
    </sheetView>
  </sheetViews>
  <sheetFormatPr defaultRowHeight="15" x14ac:dyDescent="0.25"/>
  <cols>
    <col min="3" max="3" width="12.42578125" bestFit="1" customWidth="1"/>
    <col min="4" max="4" width="10.85546875" bestFit="1" customWidth="1"/>
    <col min="5" max="5" width="15.7109375" bestFit="1" customWidth="1"/>
    <col min="6" max="10" width="15.7109375" customWidth="1"/>
    <col min="11" max="11" width="11.140625" customWidth="1"/>
    <col min="12" max="12" width="12.85546875" bestFit="1" customWidth="1"/>
    <col min="13" max="13" width="13.5703125" bestFit="1" customWidth="1"/>
    <col min="14" max="14" width="10" bestFit="1" customWidth="1"/>
  </cols>
  <sheetData>
    <row r="2" spans="2:13" x14ac:dyDescent="0.25">
      <c r="B2" t="s">
        <v>135</v>
      </c>
      <c r="C2" t="s">
        <v>7</v>
      </c>
      <c r="D2" t="s">
        <v>8</v>
      </c>
      <c r="E2" t="s">
        <v>58</v>
      </c>
      <c r="F2" t="s">
        <v>136</v>
      </c>
      <c r="G2" t="s">
        <v>176</v>
      </c>
      <c r="H2" t="s">
        <v>65</v>
      </c>
      <c r="I2" t="s">
        <v>204</v>
      </c>
      <c r="J2" t="s">
        <v>214</v>
      </c>
      <c r="K2" t="s">
        <v>137</v>
      </c>
    </row>
    <row r="3" spans="2:13" x14ac:dyDescent="0.25">
      <c r="B3">
        <v>2013</v>
      </c>
      <c r="C3">
        <v>0.85</v>
      </c>
      <c r="D3">
        <v>0</v>
      </c>
      <c r="E3">
        <v>0</v>
      </c>
      <c r="F3">
        <v>0</v>
      </c>
      <c r="G3">
        <v>0</v>
      </c>
      <c r="H3" s="2">
        <f>F3+E3+D3+C3</f>
        <v>0.85</v>
      </c>
      <c r="I3" s="2">
        <f t="shared" ref="I3:I8" si="0">H3/12</f>
        <v>7.0833333333333331E-2</v>
      </c>
      <c r="J3" s="2"/>
    </row>
    <row r="4" spans="2:13" x14ac:dyDescent="0.25">
      <c r="B4">
        <v>2014</v>
      </c>
      <c r="C4">
        <v>74.17</v>
      </c>
      <c r="D4">
        <f>10.5+10.66+10.8+2.1+2.12+9.64+8.36+1.14+1.32+1.33+79.43+8.93+0.54+0.89+1.82+5.45+1.15+0.71</f>
        <v>156.88999999999999</v>
      </c>
      <c r="E4">
        <f>2.18+2.81+2.04+2.46+2.76+3.19+4.71+2.16+2.01+1.01+0.22+1.08+0.77+2.14</f>
        <v>29.540000000000003</v>
      </c>
      <c r="F4">
        <v>0</v>
      </c>
      <c r="G4">
        <v>0.42</v>
      </c>
      <c r="H4" s="2">
        <f>F4+E4+D4+C4</f>
        <v>260.59999999999997</v>
      </c>
      <c r="I4" s="2">
        <f t="shared" si="0"/>
        <v>21.716666666666665</v>
      </c>
      <c r="J4" s="2">
        <f>I4-I3</f>
        <v>21.645833333333332</v>
      </c>
      <c r="K4" s="1">
        <f>(H4-H3)/H3</f>
        <v>305.58823529411757</v>
      </c>
    </row>
    <row r="5" spans="2:13" x14ac:dyDescent="0.25">
      <c r="B5">
        <v>2015</v>
      </c>
      <c r="C5" s="3">
        <f>94.63+'Dividends Recieved'!G7+'Dividends Recieved'!J9+'Dividends Recieved'!M13+'Dividends Recieved'!P7+'Dividends Recieved'!T8+'Dividends Recieved'!W14</f>
        <v>300.51</v>
      </c>
      <c r="D5" s="3">
        <f>1.5+2.08+34.72+2.8+0.27+23.64+11.35+11.76+9.73+15.73+15.48+2.36+'Dividends Recieved'!M18+'Dividends Recieved'!G11+'Dividends Recieved'!J13+'Dividends Recieved'!P11+'Dividends Recieved'!T12+'Dividends Recieved'!W17</f>
        <v>310.21000000000004</v>
      </c>
      <c r="E5" s="3">
        <f>0.24+5.92+5.86+3.28+2.95+3.72+2.14+4.4+3.5+2.17+1.01+1.59+0.32+3.23+3.21+2.57+2.48+4.56+2.83+'Dividends Recieved'!G16+'Dividends Recieved'!J19+'Dividends Recieved'!M25+'Dividends Recieved'!P16+'Dividends Recieved'!T18+'Dividends Recieved'!W24</f>
        <v>132.72111699999999</v>
      </c>
      <c r="F5">
        <f>(0.6*241)*3</f>
        <v>433.79999999999995</v>
      </c>
      <c r="G5" s="3">
        <f>0.83+'Dividends Recieved'!G19+'Dividends Recieved'!L28+'Dividends Recieved'!P20+'Dividends Recieved'!T21+'Dividends Recieved'!W27</f>
        <v>4.8099999999999996</v>
      </c>
      <c r="H5" s="3">
        <f>F5+E5+D5+C5+G5</f>
        <v>1182.051117</v>
      </c>
      <c r="I5" s="2">
        <f t="shared" si="0"/>
        <v>98.504259750000003</v>
      </c>
      <c r="J5" s="2">
        <f>I5-I4</f>
        <v>76.787593083333334</v>
      </c>
      <c r="K5" s="1">
        <f>(H5-H4)/H4</f>
        <v>3.5358830276285502</v>
      </c>
      <c r="L5" s="3"/>
    </row>
    <row r="6" spans="2:13" x14ac:dyDescent="0.25">
      <c r="B6">
        <v>2016</v>
      </c>
      <c r="C6" s="3">
        <f>'Dividends Recieved'!D39+'Dividends Recieved'!H40+'Dividends Recieved'!L43+'Dividends Recieved'!P39+'Dividends Recieved'!T39+'Dividends Recieved'!X44+'Dividends Recieved'!AB38+'Dividends Recieved'!AF41+'Dividends Recieved'!AJ45+'Dividends Recieved'!AN39+'Dividends Recieved'!AR41+'Dividends Recieved'!AV46</f>
        <v>879.15252600000008</v>
      </c>
      <c r="D6" s="3">
        <f>'Dividends Recieved'!X48+'Dividends Recieved'!T43+'Dividends Recieved'!P44+'Dividends Recieved'!L46+'Dividends Recieved'!H43+'Dividends Recieved'!D43+'Dividends Recieved'!AB42+'Dividends Recieved'!AJ50+'Dividends Recieved'!AF45+'Dividends Recieved'!AN44+'Dividends Recieved'!AR45+'Dividends Recieved'!AV50</f>
        <v>333.32095000000004</v>
      </c>
      <c r="E6" s="3">
        <f>'Dividends Recieved'!D48+'Dividends Recieved'!H49+'Dividends Recieved'!L53+'Dividends Recieved'!P49+'Dividends Recieved'!T49+'Dividends Recieved'!X54+'Dividends Recieved'!AB47+'Dividends Recieved'!AF50+'Dividends Recieved'!AJ56+'Dividends Recieved'!AN49+'Dividends Recieved'!AR50+'Dividends Recieved'!AV56</f>
        <v>223.1798565</v>
      </c>
      <c r="F6" s="3">
        <f>'Dividends Recieved'!W60*4</f>
        <v>578.4</v>
      </c>
      <c r="G6" s="3">
        <f>'Dividends Recieved'!W57+'Dividends Recieved'!S52+'Dividends Recieved'!O52+'Dividends Recieved'!K56+'Dividends Recieved'!G52+'Dividends Recieved'!C51+'Dividends Recieved'!AA50</f>
        <v>5.88</v>
      </c>
      <c r="H6" s="3">
        <f>F6+E6+D6+C6+G6</f>
        <v>2019.9333325000002</v>
      </c>
      <c r="I6" s="2">
        <f t="shared" si="0"/>
        <v>168.32777770833334</v>
      </c>
      <c r="J6" s="2">
        <f>I6-I5</f>
        <v>69.823517958333341</v>
      </c>
      <c r="K6" s="1">
        <f>(H6-H5)/H5</f>
        <v>0.70883754809733857</v>
      </c>
      <c r="L6" s="3"/>
    </row>
    <row r="7" spans="2:13" x14ac:dyDescent="0.25">
      <c r="B7">
        <v>2017</v>
      </c>
      <c r="C7" s="3">
        <f>'Dividends Recieved'!D72+'Dividends Recieved'!G73+'Dividends Recieved'!J76+'Dividends Recieved'!M72+'Dividends Recieved'!P72+'Dividends Recieved'!S78+'Dividends Recieved'!V71+'Dividends Recieved'!Y73+'Dividends Recieved'!AB78+'Dividends Recieved'!AE71+'Dividends Recieved'!AH73+'Dividends Recieved'!AK76</f>
        <v>1777.1884157280001</v>
      </c>
      <c r="D7" s="3">
        <f>'Dividends Recieved'!AH77+'Dividends Recieved'!AE78+'Dividends Recieved'!AB83+'Dividends Recieved'!Y77+'Dividends Recieved'!V77+'Dividends Recieved'!S81+'Dividends Recieved'!P75+'Dividends Recieved'!M79+'Dividends Recieved'!J79+'Dividends Recieved'!G76+'Dividends Recieved'!D76+'Dividends Recieved'!AK80</f>
        <v>672.02531999999997</v>
      </c>
      <c r="E7" s="3">
        <f>'Dividends Recieved'!D81+'Dividends Recieved'!G82+'Dividends Recieved'!J85+'Dividends Recieved'!M84+'Dividends Recieved'!P81+'Dividends Recieved'!S87+'Dividends Recieved'!V82+'Dividends Recieved'!Y82+'Dividends Recieved'!AB89+'Dividends Recieved'!AE83+'Dividends Recieved'!AH82+'Dividends Recieved'!AK85</f>
        <v>235.68983827999998</v>
      </c>
      <c r="F7" s="3">
        <f>'Dividends Recieved'!W60*4</f>
        <v>578.4</v>
      </c>
      <c r="G7" s="3">
        <f>'Dividends Recieved'!F85+'Dividends Recieved'!C84+'Dividends Recieved'!I88+'Dividends Recieved'!L87+'Dividends Recieved'!O84+'Dividends Recieved'!R90+'Dividends Recieved'!U85+'Dividends Recieved'!X85+'Dividends Recieved'!AA92+'Dividends Recieved'!AD86+'Dividends Recieved'!AG85+'Dividends Recieved'!AJ88</f>
        <v>10.08</v>
      </c>
      <c r="H7" s="3">
        <f>F7+E7+D7+C7+G7</f>
        <v>3273.3835740079999</v>
      </c>
      <c r="I7" s="2">
        <f t="shared" si="0"/>
        <v>272.78196450066667</v>
      </c>
      <c r="J7" s="2">
        <f>I7-I6</f>
        <v>104.45418679233333</v>
      </c>
      <c r="K7" s="1">
        <f>(H7-H6)/H6</f>
        <v>0.62054040167585556</v>
      </c>
      <c r="L7" s="249"/>
      <c r="M7" s="1"/>
    </row>
    <row r="8" spans="2:13" x14ac:dyDescent="0.25">
      <c r="B8">
        <v>2018</v>
      </c>
      <c r="C8" s="3">
        <f>'Dividends Recieved'!B102</f>
        <v>1927.4083139999996</v>
      </c>
      <c r="D8" s="3">
        <f>'Dividends Recieved'!B103</f>
        <v>858.11511999999993</v>
      </c>
      <c r="E8" s="3">
        <f>'Dividends Recieved'!B104</f>
        <v>315.61503316879993</v>
      </c>
      <c r="F8" s="3">
        <f>'Dividends Recieved'!B106</f>
        <v>578.4</v>
      </c>
      <c r="G8" s="3">
        <f>'Dividends Recieved'!B105</f>
        <v>10.08</v>
      </c>
      <c r="H8" s="3">
        <f>F8+E8+D8+C8+G8</f>
        <v>3689.6184671687993</v>
      </c>
      <c r="I8" s="2">
        <f t="shared" si="0"/>
        <v>307.46820559739996</v>
      </c>
      <c r="J8" s="2">
        <f>I8-I7</f>
        <v>34.686241096733283</v>
      </c>
      <c r="K8" s="1">
        <f>(H8-H7)/H7</f>
        <v>0.12715738432424301</v>
      </c>
      <c r="L8" s="3"/>
      <c r="M8" s="3"/>
    </row>
    <row r="88" spans="4:5" x14ac:dyDescent="0.25">
      <c r="D88">
        <v>26</v>
      </c>
      <c r="E88">
        <v>3600</v>
      </c>
    </row>
    <row r="89" spans="4:5" x14ac:dyDescent="0.25">
      <c r="D89">
        <v>27</v>
      </c>
      <c r="E89">
        <f>E88*1.04+E88*0.04</f>
        <v>3888</v>
      </c>
    </row>
    <row r="90" spans="4:5" x14ac:dyDescent="0.25">
      <c r="D90">
        <v>28</v>
      </c>
      <c r="E90">
        <f>E89*1.04+E89*0.04</f>
        <v>4199.04</v>
      </c>
    </row>
    <row r="91" spans="4:5" x14ac:dyDescent="0.25">
      <c r="D91">
        <v>29</v>
      </c>
      <c r="E91">
        <f t="shared" ref="E91:E122" si="1">E90*1.04+E90*0.04</f>
        <v>4534.9632000000001</v>
      </c>
    </row>
    <row r="92" spans="4:5" x14ac:dyDescent="0.25">
      <c r="D92">
        <v>30</v>
      </c>
      <c r="E92">
        <f t="shared" si="1"/>
        <v>4897.7602559999996</v>
      </c>
    </row>
    <row r="93" spans="4:5" x14ac:dyDescent="0.25">
      <c r="D93">
        <v>31</v>
      </c>
      <c r="E93">
        <f t="shared" si="1"/>
        <v>5289.5810764799999</v>
      </c>
    </row>
    <row r="94" spans="4:5" x14ac:dyDescent="0.25">
      <c r="D94">
        <v>32</v>
      </c>
      <c r="E94">
        <f t="shared" si="1"/>
        <v>5712.7475625983998</v>
      </c>
    </row>
    <row r="95" spans="4:5" x14ac:dyDescent="0.25">
      <c r="D95">
        <v>33</v>
      </c>
      <c r="E95">
        <f t="shared" si="1"/>
        <v>6169.7673676062723</v>
      </c>
    </row>
    <row r="96" spans="4:5" x14ac:dyDescent="0.25">
      <c r="D96">
        <v>34</v>
      </c>
      <c r="E96">
        <f t="shared" si="1"/>
        <v>6663.3487570147745</v>
      </c>
    </row>
    <row r="97" spans="4:5" x14ac:dyDescent="0.25">
      <c r="D97">
        <v>35</v>
      </c>
      <c r="E97">
        <f t="shared" si="1"/>
        <v>7196.4166575759564</v>
      </c>
    </row>
    <row r="98" spans="4:5" x14ac:dyDescent="0.25">
      <c r="D98">
        <v>36</v>
      </c>
      <c r="E98">
        <f t="shared" si="1"/>
        <v>7772.129990182033</v>
      </c>
    </row>
    <row r="99" spans="4:5" x14ac:dyDescent="0.25">
      <c r="D99">
        <v>37</v>
      </c>
      <c r="E99">
        <f t="shared" si="1"/>
        <v>8393.9003893965964</v>
      </c>
    </row>
    <row r="100" spans="4:5" x14ac:dyDescent="0.25">
      <c r="D100">
        <v>38</v>
      </c>
      <c r="E100">
        <f t="shared" si="1"/>
        <v>9065.412420548324</v>
      </c>
    </row>
    <row r="101" spans="4:5" x14ac:dyDescent="0.25">
      <c r="D101">
        <v>39</v>
      </c>
      <c r="E101">
        <f t="shared" si="1"/>
        <v>9790.6454141921895</v>
      </c>
    </row>
    <row r="102" spans="4:5" x14ac:dyDescent="0.25">
      <c r="D102">
        <v>40</v>
      </c>
      <c r="E102">
        <f t="shared" si="1"/>
        <v>10573.897047327566</v>
      </c>
    </row>
    <row r="103" spans="4:5" x14ac:dyDescent="0.25">
      <c r="D103">
        <v>41</v>
      </c>
      <c r="E103">
        <f t="shared" si="1"/>
        <v>11419.808811113771</v>
      </c>
    </row>
    <row r="104" spans="4:5" x14ac:dyDescent="0.25">
      <c r="D104">
        <v>42</v>
      </c>
      <c r="E104">
        <f t="shared" si="1"/>
        <v>12333.393516002872</v>
      </c>
    </row>
    <row r="105" spans="4:5" x14ac:dyDescent="0.25">
      <c r="D105">
        <v>43</v>
      </c>
      <c r="E105">
        <f t="shared" si="1"/>
        <v>13320.064997283103</v>
      </c>
    </row>
    <row r="106" spans="4:5" x14ac:dyDescent="0.25">
      <c r="D106">
        <v>44</v>
      </c>
      <c r="E106">
        <f t="shared" si="1"/>
        <v>14385.670197065752</v>
      </c>
    </row>
    <row r="107" spans="4:5" x14ac:dyDescent="0.25">
      <c r="D107">
        <v>45</v>
      </c>
      <c r="E107">
        <f t="shared" si="1"/>
        <v>15536.523812831012</v>
      </c>
    </row>
    <row r="108" spans="4:5" x14ac:dyDescent="0.25">
      <c r="D108">
        <v>46</v>
      </c>
      <c r="E108">
        <f t="shared" si="1"/>
        <v>16779.445717857496</v>
      </c>
    </row>
    <row r="109" spans="4:5" x14ac:dyDescent="0.25">
      <c r="D109">
        <v>47</v>
      </c>
      <c r="E109">
        <f t="shared" si="1"/>
        <v>18121.801375286093</v>
      </c>
    </row>
    <row r="110" spans="4:5" x14ac:dyDescent="0.25">
      <c r="D110">
        <v>48</v>
      </c>
      <c r="E110">
        <f t="shared" si="1"/>
        <v>19571.545485308983</v>
      </c>
    </row>
    <row r="111" spans="4:5" x14ac:dyDescent="0.25">
      <c r="D111">
        <v>49</v>
      </c>
      <c r="E111">
        <f t="shared" si="1"/>
        <v>21137.269124133702</v>
      </c>
    </row>
    <row r="112" spans="4:5" x14ac:dyDescent="0.25">
      <c r="D112">
        <v>50</v>
      </c>
      <c r="E112">
        <f t="shared" si="1"/>
        <v>22828.250654064399</v>
      </c>
    </row>
    <row r="113" spans="4:5" x14ac:dyDescent="0.25">
      <c r="D113">
        <v>51</v>
      </c>
      <c r="E113">
        <f t="shared" si="1"/>
        <v>24654.510706389552</v>
      </c>
    </row>
    <row r="114" spans="4:5" x14ac:dyDescent="0.25">
      <c r="D114">
        <v>52</v>
      </c>
      <c r="E114">
        <f t="shared" si="1"/>
        <v>26626.871562900717</v>
      </c>
    </row>
    <row r="115" spans="4:5" x14ac:dyDescent="0.25">
      <c r="D115">
        <v>53</v>
      </c>
      <c r="E115">
        <f t="shared" si="1"/>
        <v>28757.021287932774</v>
      </c>
    </row>
    <row r="116" spans="4:5" x14ac:dyDescent="0.25">
      <c r="D116">
        <v>54</v>
      </c>
      <c r="E116">
        <f t="shared" si="1"/>
        <v>31057.582990967399</v>
      </c>
    </row>
    <row r="117" spans="4:5" x14ac:dyDescent="0.25">
      <c r="D117">
        <v>55</v>
      </c>
      <c r="E117">
        <f t="shared" si="1"/>
        <v>33542.189630244793</v>
      </c>
    </row>
    <row r="118" spans="4:5" x14ac:dyDescent="0.25">
      <c r="D118">
        <v>56</v>
      </c>
      <c r="E118">
        <f t="shared" si="1"/>
        <v>36225.564800664382</v>
      </c>
    </row>
    <row r="119" spans="4:5" x14ac:dyDescent="0.25">
      <c r="D119">
        <v>57</v>
      </c>
      <c r="E119">
        <f t="shared" si="1"/>
        <v>39123.609984717528</v>
      </c>
    </row>
    <row r="120" spans="4:5" x14ac:dyDescent="0.25">
      <c r="D120">
        <v>58</v>
      </c>
      <c r="E120">
        <f t="shared" si="1"/>
        <v>42253.498783494935</v>
      </c>
    </row>
    <row r="121" spans="4:5" x14ac:dyDescent="0.25">
      <c r="D121">
        <v>59</v>
      </c>
      <c r="E121">
        <f t="shared" si="1"/>
        <v>45633.778686174534</v>
      </c>
    </row>
    <row r="122" spans="4:5" x14ac:dyDescent="0.25">
      <c r="D122">
        <v>60</v>
      </c>
      <c r="E122">
        <f t="shared" si="1"/>
        <v>49284.480981068496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2"/>
  <sheetViews>
    <sheetView topLeftCell="A2" zoomScale="70" zoomScaleNormal="70" workbookViewId="0">
      <selection activeCell="O7" sqref="O7"/>
    </sheetView>
  </sheetViews>
  <sheetFormatPr defaultRowHeight="15" x14ac:dyDescent="0.25"/>
  <cols>
    <col min="3" max="3" width="12.42578125" bestFit="1" customWidth="1"/>
    <col min="4" max="4" width="10.85546875" bestFit="1" customWidth="1"/>
    <col min="5" max="5" width="15.7109375" bestFit="1" customWidth="1"/>
    <col min="6" max="10" width="15.7109375" customWidth="1"/>
    <col min="11" max="11" width="11.140625" customWidth="1"/>
    <col min="12" max="12" width="12.85546875" bestFit="1" customWidth="1"/>
    <col min="13" max="13" width="13.5703125" bestFit="1" customWidth="1"/>
    <col min="14" max="14" width="10" bestFit="1" customWidth="1"/>
    <col min="15" max="15" width="12" bestFit="1" customWidth="1"/>
  </cols>
  <sheetData>
    <row r="2" spans="2:15" x14ac:dyDescent="0.25">
      <c r="B2" t="s">
        <v>135</v>
      </c>
      <c r="C2" t="s">
        <v>53</v>
      </c>
      <c r="D2" t="s">
        <v>54</v>
      </c>
      <c r="E2" t="s">
        <v>55</v>
      </c>
      <c r="F2" t="s">
        <v>56</v>
      </c>
      <c r="G2" t="s">
        <v>45</v>
      </c>
      <c r="H2" t="s">
        <v>46</v>
      </c>
      <c r="I2" t="s">
        <v>47</v>
      </c>
      <c r="J2" t="s">
        <v>48</v>
      </c>
      <c r="K2" t="s">
        <v>49</v>
      </c>
      <c r="L2" t="s">
        <v>50</v>
      </c>
      <c r="M2" t="s">
        <v>51</v>
      </c>
      <c r="N2" t="s">
        <v>52</v>
      </c>
    </row>
    <row r="3" spans="2:15" x14ac:dyDescent="0.25">
      <c r="B3">
        <v>2013</v>
      </c>
      <c r="H3" s="2"/>
      <c r="I3" s="2"/>
      <c r="J3" s="2"/>
    </row>
    <row r="4" spans="2:15" x14ac:dyDescent="0.25">
      <c r="B4">
        <v>2014</v>
      </c>
      <c r="H4" s="2"/>
      <c r="I4" s="2"/>
      <c r="J4" s="2"/>
      <c r="K4" s="1"/>
    </row>
    <row r="5" spans="2:15" x14ac:dyDescent="0.25">
      <c r="B5">
        <v>2015</v>
      </c>
      <c r="C5" s="3"/>
      <c r="D5" s="3"/>
      <c r="E5" s="3"/>
      <c r="G5" s="3"/>
      <c r="H5" s="3">
        <f>'Dividends Recieved'!C28</f>
        <v>222.92</v>
      </c>
      <c r="I5" s="2">
        <f>'Dividends Recieved'!F21</f>
        <v>68.259999999999991</v>
      </c>
      <c r="J5" s="2">
        <f>'Dividends Recieved'!I24</f>
        <v>69.179999999999993</v>
      </c>
      <c r="K5" s="282">
        <f>'Dividends Recieved'!L30</f>
        <v>195.01000000000002</v>
      </c>
      <c r="L5" s="3">
        <f>'Dividends Recieved'!O22</f>
        <v>135.57000000000002</v>
      </c>
      <c r="M5" s="3">
        <f>'Dividends Recieved'!S23</f>
        <v>82.761116999999999</v>
      </c>
      <c r="N5" s="3">
        <f>'Dividends Recieved'!V29</f>
        <v>109.62</v>
      </c>
      <c r="O5" s="3">
        <f>SUM(C5:N5)</f>
        <v>883.32111700000007</v>
      </c>
    </row>
    <row r="6" spans="2:15" x14ac:dyDescent="0.25">
      <c r="B6">
        <v>2016</v>
      </c>
      <c r="C6" s="3">
        <f>'Dividends Recieved'!C53</f>
        <v>77.42</v>
      </c>
      <c r="D6" s="3">
        <f>'Dividends Recieved'!G54</f>
        <v>106.72</v>
      </c>
      <c r="E6" s="3">
        <f>'Dividends Recieved'!K58</f>
        <v>85.480950000000007</v>
      </c>
      <c r="F6" s="3">
        <f>'Dividends Recieved'!O54</f>
        <v>142.94016000000002</v>
      </c>
      <c r="G6" s="3">
        <f>'Dividends Recieved'!S54</f>
        <v>83.170000000000016</v>
      </c>
      <c r="H6" s="3">
        <f>'Dividends Recieved'!W62</f>
        <v>255.95</v>
      </c>
      <c r="I6" s="2">
        <f>'Dividends Recieved'!AA52</f>
        <v>103.65847000000002</v>
      </c>
      <c r="J6" s="2">
        <f>'Dividends Recieved'!AE55</f>
        <v>72.781376500000007</v>
      </c>
      <c r="K6" s="282">
        <f>'Dividends Recieved'!AI61</f>
        <v>232.52053599999999</v>
      </c>
      <c r="L6" s="3">
        <f>'Dividends Recieved'!AM54</f>
        <v>102.98032000000001</v>
      </c>
      <c r="M6" s="3">
        <f>'Dividends Recieved'!AQ55</f>
        <v>104.26152</v>
      </c>
      <c r="N6" s="3">
        <f>'Dividends Recieved'!AU61</f>
        <v>180.10000000000002</v>
      </c>
      <c r="O6" s="3">
        <f>SUM(C6:N6)</f>
        <v>1547.9833325</v>
      </c>
    </row>
    <row r="7" spans="2:15" x14ac:dyDescent="0.25">
      <c r="B7">
        <v>2017</v>
      </c>
      <c r="C7" s="3">
        <f>'Dividends Recieved'!C86</f>
        <v>126.27</v>
      </c>
      <c r="D7" s="3">
        <f>'Dividends Recieved'!F87</f>
        <v>130.04</v>
      </c>
      <c r="E7" s="3">
        <f>'Dividends Recieved'!I93</f>
        <v>405.72414499999996</v>
      </c>
      <c r="F7" s="3">
        <f>'Dividends Recieved'!L89</f>
        <v>260.09499999999997</v>
      </c>
      <c r="G7" s="3">
        <f>'Dividends Recieved'!O86</f>
        <v>80.89</v>
      </c>
      <c r="H7" s="3">
        <f>'Dividends Recieved'!R95</f>
        <v>476.53123010399997</v>
      </c>
      <c r="I7" s="2"/>
      <c r="J7" s="2"/>
      <c r="K7" s="1"/>
      <c r="L7" s="249"/>
      <c r="M7" s="1"/>
      <c r="O7" s="3">
        <f>SUM(C7:N7)</f>
        <v>1479.5503751039998</v>
      </c>
    </row>
    <row r="8" spans="2:15" x14ac:dyDescent="0.25">
      <c r="B8">
        <v>2018</v>
      </c>
      <c r="C8" s="3"/>
      <c r="D8" s="3"/>
      <c r="E8" s="3"/>
      <c r="F8" s="3"/>
      <c r="G8" s="3"/>
      <c r="H8" s="3"/>
      <c r="I8" s="2"/>
      <c r="J8" s="2"/>
      <c r="K8" s="1"/>
      <c r="L8" s="3"/>
      <c r="M8" s="3"/>
    </row>
    <row r="88" spans="4:5" x14ac:dyDescent="0.25">
      <c r="D88">
        <v>26</v>
      </c>
      <c r="E88">
        <v>3600</v>
      </c>
    </row>
    <row r="89" spans="4:5" x14ac:dyDescent="0.25">
      <c r="D89">
        <v>27</v>
      </c>
      <c r="E89">
        <f>E88*1.04+E88*0.04</f>
        <v>3888</v>
      </c>
    </row>
    <row r="90" spans="4:5" x14ac:dyDescent="0.25">
      <c r="D90">
        <v>28</v>
      </c>
      <c r="E90">
        <f>E89*1.04+E89*0.04</f>
        <v>4199.04</v>
      </c>
    </row>
    <row r="91" spans="4:5" x14ac:dyDescent="0.25">
      <c r="D91">
        <v>29</v>
      </c>
      <c r="E91">
        <f t="shared" ref="E91:E122" si="0">E90*1.04+E90*0.04</f>
        <v>4534.9632000000001</v>
      </c>
    </row>
    <row r="92" spans="4:5" x14ac:dyDescent="0.25">
      <c r="D92">
        <v>30</v>
      </c>
      <c r="E92">
        <f t="shared" si="0"/>
        <v>4897.7602559999996</v>
      </c>
    </row>
    <row r="93" spans="4:5" x14ac:dyDescent="0.25">
      <c r="D93">
        <v>31</v>
      </c>
      <c r="E93">
        <f t="shared" si="0"/>
        <v>5289.5810764799999</v>
      </c>
    </row>
    <row r="94" spans="4:5" x14ac:dyDescent="0.25">
      <c r="D94">
        <v>32</v>
      </c>
      <c r="E94">
        <f t="shared" si="0"/>
        <v>5712.7475625983998</v>
      </c>
    </row>
    <row r="95" spans="4:5" x14ac:dyDescent="0.25">
      <c r="D95">
        <v>33</v>
      </c>
      <c r="E95">
        <f t="shared" si="0"/>
        <v>6169.7673676062723</v>
      </c>
    </row>
    <row r="96" spans="4:5" x14ac:dyDescent="0.25">
      <c r="D96">
        <v>34</v>
      </c>
      <c r="E96">
        <f t="shared" si="0"/>
        <v>6663.3487570147745</v>
      </c>
    </row>
    <row r="97" spans="4:5" x14ac:dyDescent="0.25">
      <c r="D97">
        <v>35</v>
      </c>
      <c r="E97">
        <f t="shared" si="0"/>
        <v>7196.4166575759564</v>
      </c>
    </row>
    <row r="98" spans="4:5" x14ac:dyDescent="0.25">
      <c r="D98">
        <v>36</v>
      </c>
      <c r="E98">
        <f t="shared" si="0"/>
        <v>7772.129990182033</v>
      </c>
    </row>
    <row r="99" spans="4:5" x14ac:dyDescent="0.25">
      <c r="D99">
        <v>37</v>
      </c>
      <c r="E99">
        <f t="shared" si="0"/>
        <v>8393.9003893965964</v>
      </c>
    </row>
    <row r="100" spans="4:5" x14ac:dyDescent="0.25">
      <c r="D100">
        <v>38</v>
      </c>
      <c r="E100">
        <f t="shared" si="0"/>
        <v>9065.412420548324</v>
      </c>
    </row>
    <row r="101" spans="4:5" x14ac:dyDescent="0.25">
      <c r="D101">
        <v>39</v>
      </c>
      <c r="E101">
        <f t="shared" si="0"/>
        <v>9790.6454141921895</v>
      </c>
    </row>
    <row r="102" spans="4:5" x14ac:dyDescent="0.25">
      <c r="D102">
        <v>40</v>
      </c>
      <c r="E102">
        <f t="shared" si="0"/>
        <v>10573.897047327566</v>
      </c>
    </row>
    <row r="103" spans="4:5" x14ac:dyDescent="0.25">
      <c r="D103">
        <v>41</v>
      </c>
      <c r="E103">
        <f t="shared" si="0"/>
        <v>11419.808811113771</v>
      </c>
    </row>
    <row r="104" spans="4:5" x14ac:dyDescent="0.25">
      <c r="D104">
        <v>42</v>
      </c>
      <c r="E104">
        <f t="shared" si="0"/>
        <v>12333.393516002872</v>
      </c>
    </row>
    <row r="105" spans="4:5" x14ac:dyDescent="0.25">
      <c r="D105">
        <v>43</v>
      </c>
      <c r="E105">
        <f t="shared" si="0"/>
        <v>13320.064997283103</v>
      </c>
    </row>
    <row r="106" spans="4:5" x14ac:dyDescent="0.25">
      <c r="D106">
        <v>44</v>
      </c>
      <c r="E106">
        <f t="shared" si="0"/>
        <v>14385.670197065752</v>
      </c>
    </row>
    <row r="107" spans="4:5" x14ac:dyDescent="0.25">
      <c r="D107">
        <v>45</v>
      </c>
      <c r="E107">
        <f t="shared" si="0"/>
        <v>15536.523812831012</v>
      </c>
    </row>
    <row r="108" spans="4:5" x14ac:dyDescent="0.25">
      <c r="D108">
        <v>46</v>
      </c>
      <c r="E108">
        <f t="shared" si="0"/>
        <v>16779.445717857496</v>
      </c>
    </row>
    <row r="109" spans="4:5" x14ac:dyDescent="0.25">
      <c r="D109">
        <v>47</v>
      </c>
      <c r="E109">
        <f t="shared" si="0"/>
        <v>18121.801375286093</v>
      </c>
    </row>
    <row r="110" spans="4:5" x14ac:dyDescent="0.25">
      <c r="D110">
        <v>48</v>
      </c>
      <c r="E110">
        <f t="shared" si="0"/>
        <v>19571.545485308983</v>
      </c>
    </row>
    <row r="111" spans="4:5" x14ac:dyDescent="0.25">
      <c r="D111">
        <v>49</v>
      </c>
      <c r="E111">
        <f t="shared" si="0"/>
        <v>21137.269124133702</v>
      </c>
    </row>
    <row r="112" spans="4:5" x14ac:dyDescent="0.25">
      <c r="D112">
        <v>50</v>
      </c>
      <c r="E112">
        <f t="shared" si="0"/>
        <v>22828.250654064399</v>
      </c>
    </row>
    <row r="113" spans="4:5" x14ac:dyDescent="0.25">
      <c r="D113">
        <v>51</v>
      </c>
      <c r="E113">
        <f t="shared" si="0"/>
        <v>24654.510706389552</v>
      </c>
    </row>
    <row r="114" spans="4:5" x14ac:dyDescent="0.25">
      <c r="D114">
        <v>52</v>
      </c>
      <c r="E114">
        <f t="shared" si="0"/>
        <v>26626.871562900717</v>
      </c>
    </row>
    <row r="115" spans="4:5" x14ac:dyDescent="0.25">
      <c r="D115">
        <v>53</v>
      </c>
      <c r="E115">
        <f t="shared" si="0"/>
        <v>28757.021287932774</v>
      </c>
    </row>
    <row r="116" spans="4:5" x14ac:dyDescent="0.25">
      <c r="D116">
        <v>54</v>
      </c>
      <c r="E116">
        <f t="shared" si="0"/>
        <v>31057.582990967399</v>
      </c>
    </row>
    <row r="117" spans="4:5" x14ac:dyDescent="0.25">
      <c r="D117">
        <v>55</v>
      </c>
      <c r="E117">
        <f t="shared" si="0"/>
        <v>33542.189630244793</v>
      </c>
    </row>
    <row r="118" spans="4:5" x14ac:dyDescent="0.25">
      <c r="D118">
        <v>56</v>
      </c>
      <c r="E118">
        <f t="shared" si="0"/>
        <v>36225.564800664382</v>
      </c>
    </row>
    <row r="119" spans="4:5" x14ac:dyDescent="0.25">
      <c r="D119">
        <v>57</v>
      </c>
      <c r="E119">
        <f t="shared" si="0"/>
        <v>39123.609984717528</v>
      </c>
    </row>
    <row r="120" spans="4:5" x14ac:dyDescent="0.25">
      <c r="D120">
        <v>58</v>
      </c>
      <c r="E120">
        <f t="shared" si="0"/>
        <v>42253.498783494935</v>
      </c>
    </row>
    <row r="121" spans="4:5" x14ac:dyDescent="0.25">
      <c r="D121">
        <v>59</v>
      </c>
      <c r="E121">
        <f t="shared" si="0"/>
        <v>45633.778686174534</v>
      </c>
    </row>
    <row r="122" spans="4:5" x14ac:dyDescent="0.25">
      <c r="D122">
        <v>60</v>
      </c>
      <c r="E122">
        <f t="shared" si="0"/>
        <v>49284.480981068496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11</vt:i4>
      </vt:variant>
      <vt:variant>
        <vt:lpstr>Charts</vt:lpstr>
      </vt:variant>
      <vt:variant>
        <vt:i4>1</vt:i4>
      </vt:variant>
    </vt:vector>
  </HeadingPairs>
  <TitlesOfParts>
    <vt:vector baseType="lpstr" size="12">
      <vt:lpstr>Portfolio Formatted</vt:lpstr>
      <vt:lpstr>Allocation</vt:lpstr>
      <vt:lpstr>DRIP - Q</vt:lpstr>
      <vt:lpstr>DRIP - S</vt:lpstr>
      <vt:lpstr>DRIP - M</vt:lpstr>
      <vt:lpstr>Principle_needed</vt:lpstr>
      <vt:lpstr>Fibonacci</vt:lpstr>
      <vt:lpstr>Yearly Dividends</vt:lpstr>
      <vt:lpstr>Monthly Dividends</vt:lpstr>
      <vt:lpstr>Dividends Recieved</vt:lpstr>
      <vt:lpstr>Youtube Income</vt:lpstr>
      <vt:lpstr>Yearly Graphic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