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/>
  <mc:AlternateContent xmlns:mc="http://schemas.openxmlformats.org/markup-compatibility/2006">
    <mc:Choice Requires="x15">
      <x15ac:absPath xmlns:x15ac="http://schemas.microsoft.com/office/spreadsheetml/2010/11/ac" url="/Users/rbarnaba/Dropbox/CFAR HEIST:eHI/Costing Workshop/"/>
    </mc:Choice>
  </mc:AlternateContent>
  <bookViews>
    <workbookView xWindow="120" yWindow="460" windowWidth="19440" windowHeight="11640" tabRatio="797" activeTab="2"/>
  </bookViews>
  <sheets>
    <sheet name="Summary" sheetId="14" r:id="rId1"/>
    <sheet name="Summary-CHW" sheetId="23" r:id="rId2"/>
    <sheet name="Start-up costs" sheetId="19" r:id="rId3"/>
    <sheet name="Personnel" sheetId="15" r:id="rId4"/>
    <sheet name="Transport" sheetId="20" r:id="rId5"/>
    <sheet name="Testing" sheetId="16" r:id="rId6"/>
    <sheet name="Followup" sheetId="17" r:id="rId7"/>
    <sheet name="Data capture" sheetId="21" r:id="rId8"/>
    <sheet name="Treatment" sheetId="11" r:id="rId9"/>
    <sheet name="Office &amp; Misc" sheetId="22" r:id="rId10"/>
    <sheet name="Cases averted" sheetId="2" r:id="rId11"/>
    <sheet name="CEA" sheetId="3" r:id="rId1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4" l="1"/>
  <c r="C62" i="16"/>
  <c r="C35" i="14"/>
  <c r="C61" i="16"/>
  <c r="C34" i="14"/>
  <c r="D47" i="16"/>
  <c r="D11" i="16"/>
  <c r="D46" i="16"/>
  <c r="D10" i="16"/>
  <c r="D15" i="16"/>
  <c r="H15" i="16"/>
  <c r="D33" i="14"/>
  <c r="C33" i="14"/>
  <c r="F14" i="16"/>
  <c r="H14" i="16"/>
  <c r="D32" i="14"/>
  <c r="C32" i="14"/>
  <c r="C34" i="20"/>
  <c r="C20" i="20"/>
  <c r="I20" i="20"/>
  <c r="C29" i="14"/>
  <c r="C28" i="14"/>
  <c r="M49" i="15"/>
  <c r="F25" i="14"/>
  <c r="C25" i="14"/>
  <c r="F48" i="15"/>
  <c r="M48" i="15"/>
  <c r="F24" i="14"/>
  <c r="C24" i="14"/>
  <c r="F62" i="15"/>
  <c r="F47" i="15"/>
  <c r="M47" i="15"/>
  <c r="F23" i="14"/>
  <c r="C23" i="14"/>
  <c r="F46" i="15"/>
  <c r="M46" i="15"/>
  <c r="F22" i="14"/>
  <c r="C22" i="14"/>
  <c r="F45" i="15"/>
  <c r="M45" i="15"/>
  <c r="F21" i="14"/>
  <c r="C21" i="14"/>
  <c r="F44" i="15"/>
  <c r="M44" i="15"/>
  <c r="F20" i="14"/>
  <c r="C20" i="14"/>
  <c r="C18" i="21"/>
  <c r="F17" i="14"/>
  <c r="C17" i="14"/>
  <c r="F16" i="14"/>
  <c r="F15" i="14"/>
  <c r="G15" i="14"/>
  <c r="E54" i="19"/>
  <c r="J16" i="19"/>
  <c r="F14" i="14"/>
  <c r="G14" i="14"/>
  <c r="J18" i="19"/>
  <c r="F14" i="23"/>
  <c r="C14" i="23"/>
  <c r="E55" i="19"/>
  <c r="J15" i="19"/>
  <c r="F13" i="23"/>
  <c r="C13" i="23"/>
  <c r="H27" i="19"/>
  <c r="H28" i="19"/>
  <c r="H29" i="19"/>
  <c r="H30" i="19"/>
  <c r="H31" i="19"/>
  <c r="H32" i="19"/>
  <c r="J11" i="19"/>
  <c r="E40" i="19"/>
  <c r="E41" i="19"/>
  <c r="E52" i="19"/>
  <c r="E53" i="19"/>
  <c r="J12" i="19"/>
  <c r="F12" i="23"/>
  <c r="C12" i="23"/>
  <c r="K16" i="14"/>
  <c r="K14" i="14"/>
  <c r="K13" i="14"/>
  <c r="K12" i="14"/>
  <c r="K11" i="14"/>
  <c r="K10" i="14"/>
  <c r="K9" i="14"/>
  <c r="K15" i="23"/>
  <c r="K14" i="23"/>
  <c r="K13" i="23"/>
  <c r="K12" i="23"/>
  <c r="K11" i="23"/>
  <c r="K10" i="23"/>
  <c r="K9" i="23"/>
  <c r="I64" i="22"/>
  <c r="E47" i="22"/>
  <c r="F47" i="23"/>
  <c r="F48" i="14"/>
  <c r="E46" i="22"/>
  <c r="G19" i="23"/>
  <c r="I54" i="22"/>
  <c r="F48" i="23"/>
  <c r="G48" i="23"/>
  <c r="D13" i="11"/>
  <c r="D14" i="11"/>
  <c r="E3" i="11"/>
  <c r="F3" i="11"/>
  <c r="O3" i="11"/>
  <c r="M8" i="11"/>
  <c r="F44" i="23"/>
  <c r="G44" i="23"/>
  <c r="H45" i="23"/>
  <c r="L14" i="23"/>
  <c r="B42" i="21"/>
  <c r="D42" i="21"/>
  <c r="B43" i="21"/>
  <c r="D43" i="21"/>
  <c r="B44" i="21"/>
  <c r="D44" i="21"/>
  <c r="D45" i="21"/>
  <c r="E49" i="21"/>
  <c r="D46" i="21"/>
  <c r="F41" i="23"/>
  <c r="G41" i="23"/>
  <c r="G4" i="21"/>
  <c r="F40" i="23"/>
  <c r="G40" i="23"/>
  <c r="H41" i="21"/>
  <c r="C3" i="21"/>
  <c r="G3" i="21"/>
  <c r="F39" i="23"/>
  <c r="G39" i="23"/>
  <c r="F38" i="23"/>
  <c r="G38" i="23"/>
  <c r="H42" i="23"/>
  <c r="L13" i="23"/>
  <c r="F35" i="23"/>
  <c r="G35" i="23"/>
  <c r="F34" i="23"/>
  <c r="G34" i="23"/>
  <c r="F33" i="23"/>
  <c r="G33" i="23"/>
  <c r="I11" i="16"/>
  <c r="F32" i="23"/>
  <c r="G32" i="23"/>
  <c r="I10" i="16"/>
  <c r="F31" i="23"/>
  <c r="G31" i="23"/>
  <c r="C21" i="20"/>
  <c r="I21" i="20"/>
  <c r="C22" i="20"/>
  <c r="I22" i="20"/>
  <c r="I25" i="20"/>
  <c r="F28" i="23"/>
  <c r="G28" i="23"/>
  <c r="J16" i="20"/>
  <c r="F27" i="23"/>
  <c r="G27" i="23"/>
  <c r="F24" i="23"/>
  <c r="G24" i="23"/>
  <c r="F23" i="23"/>
  <c r="G23" i="23"/>
  <c r="F21" i="23"/>
  <c r="G21" i="23"/>
  <c r="F20" i="23"/>
  <c r="G20" i="23"/>
  <c r="H25" i="23"/>
  <c r="L10" i="23"/>
  <c r="F16" i="23"/>
  <c r="G16" i="23"/>
  <c r="J21" i="19"/>
  <c r="F15" i="23"/>
  <c r="G15" i="23"/>
  <c r="G14" i="23"/>
  <c r="G13" i="23"/>
  <c r="A11" i="23"/>
  <c r="A12" i="23"/>
  <c r="A13" i="23"/>
  <c r="A14" i="23"/>
  <c r="A15" i="23"/>
  <c r="A16" i="23"/>
  <c r="A19" i="23"/>
  <c r="A20" i="23"/>
  <c r="A21" i="23"/>
  <c r="A22" i="23"/>
  <c r="A23" i="23"/>
  <c r="A24" i="23"/>
  <c r="A27" i="23"/>
  <c r="A28" i="23"/>
  <c r="A31" i="23"/>
  <c r="A32" i="23"/>
  <c r="A33" i="23"/>
  <c r="A34" i="23"/>
  <c r="A35" i="23"/>
  <c r="A38" i="23"/>
  <c r="A39" i="23"/>
  <c r="A40" i="23"/>
  <c r="A41" i="23"/>
  <c r="A44" i="23"/>
  <c r="A47" i="23"/>
  <c r="A48" i="23"/>
  <c r="G12" i="23"/>
  <c r="G27" i="19"/>
  <c r="G28" i="19"/>
  <c r="G29" i="19"/>
  <c r="G30" i="19"/>
  <c r="G31" i="19"/>
  <c r="G32" i="19"/>
  <c r="J5" i="19"/>
  <c r="F11" i="23"/>
  <c r="G11" i="23"/>
  <c r="G10" i="23"/>
  <c r="I3" i="23"/>
  <c r="I4" i="23"/>
  <c r="H36" i="23"/>
  <c r="L12" i="23"/>
  <c r="H29" i="23"/>
  <c r="L11" i="23"/>
  <c r="H17" i="23"/>
  <c r="L9" i="23"/>
  <c r="F50" i="23"/>
  <c r="F53" i="23"/>
  <c r="G53" i="23"/>
  <c r="F52" i="23"/>
  <c r="G52" i="23"/>
  <c r="F54" i="23"/>
  <c r="G54" i="23"/>
  <c r="G47" i="23"/>
  <c r="H49" i="23"/>
  <c r="L15" i="23"/>
  <c r="I3" i="14"/>
  <c r="I4" i="14"/>
  <c r="G10" i="14"/>
  <c r="G48" i="14"/>
  <c r="F49" i="14"/>
  <c r="G49" i="14"/>
  <c r="I55" i="22"/>
  <c r="H59" i="22"/>
  <c r="H58" i="22"/>
  <c r="F40" i="14"/>
  <c r="G40" i="14"/>
  <c r="F41" i="14"/>
  <c r="G41" i="14"/>
  <c r="F42" i="14"/>
  <c r="G42" i="14"/>
  <c r="F39" i="14"/>
  <c r="G39" i="14"/>
  <c r="F36" i="14"/>
  <c r="G36" i="14"/>
  <c r="F35" i="14"/>
  <c r="G35" i="14"/>
  <c r="F34" i="14"/>
  <c r="G34" i="14"/>
  <c r="F33" i="14"/>
  <c r="G33" i="14"/>
  <c r="F32" i="14"/>
  <c r="G32" i="14"/>
  <c r="A14" i="16"/>
  <c r="A15" i="16"/>
  <c r="A18" i="16"/>
  <c r="A28" i="16"/>
  <c r="A29" i="16"/>
  <c r="A43" i="16"/>
  <c r="A46" i="16"/>
  <c r="A47" i="16"/>
  <c r="A48" i="16"/>
  <c r="A49" i="16"/>
  <c r="A50" i="16"/>
  <c r="A51" i="16"/>
  <c r="A52" i="16"/>
  <c r="A53" i="16"/>
  <c r="A54" i="16"/>
  <c r="A55" i="16"/>
  <c r="A57" i="16"/>
  <c r="A60" i="16"/>
  <c r="A61" i="16"/>
  <c r="A62" i="16"/>
  <c r="A63" i="16"/>
  <c r="A64" i="16"/>
  <c r="A65" i="16"/>
  <c r="A66" i="16"/>
  <c r="A69" i="16"/>
  <c r="F29" i="14"/>
  <c r="G29" i="14"/>
  <c r="F28" i="14"/>
  <c r="G28" i="14"/>
  <c r="I16" i="20"/>
  <c r="G20" i="14"/>
  <c r="G16" i="14"/>
  <c r="F13" i="14"/>
  <c r="F12" i="14"/>
  <c r="F11" i="14"/>
  <c r="A11" i="14"/>
  <c r="E56" i="19"/>
  <c r="C14" i="14"/>
  <c r="G12" i="14"/>
  <c r="C12" i="14"/>
  <c r="G13" i="14"/>
  <c r="C13" i="14"/>
  <c r="H43" i="14"/>
  <c r="L13" i="14"/>
  <c r="H30" i="14"/>
  <c r="L11" i="14"/>
  <c r="G11" i="14"/>
  <c r="H50" i="14"/>
  <c r="L16" i="14"/>
  <c r="H37" i="14"/>
  <c r="L12" i="14"/>
  <c r="F51" i="23"/>
  <c r="G51" i="23"/>
  <c r="G50" i="23"/>
  <c r="F63" i="15"/>
  <c r="J20" i="19"/>
  <c r="J22" i="19"/>
  <c r="J23" i="19"/>
  <c r="J24" i="19"/>
  <c r="J17" i="19"/>
  <c r="H10" i="20"/>
  <c r="F28" i="22"/>
  <c r="A13" i="22"/>
  <c r="A14" i="22"/>
  <c r="A15" i="22"/>
  <c r="A25" i="22"/>
  <c r="A26" i="22"/>
  <c r="F45" i="14"/>
  <c r="G45" i="14"/>
  <c r="H46" i="14"/>
  <c r="L14" i="14"/>
  <c r="A4" i="11"/>
  <c r="A5" i="11"/>
  <c r="A6" i="11"/>
  <c r="A7" i="11"/>
  <c r="G20" i="21"/>
  <c r="M20" i="21"/>
  <c r="G19" i="21"/>
  <c r="M19" i="21"/>
  <c r="G17" i="21"/>
  <c r="M17" i="21"/>
  <c r="G16" i="21"/>
  <c r="M16" i="21"/>
  <c r="G15" i="21"/>
  <c r="M15" i="21"/>
  <c r="A15" i="21"/>
  <c r="A16" i="21"/>
  <c r="A17" i="21"/>
  <c r="A18" i="21"/>
  <c r="A19" i="21"/>
  <c r="A20" i="21"/>
  <c r="G14" i="21"/>
  <c r="M14" i="21"/>
  <c r="M21" i="21"/>
  <c r="A17" i="15"/>
  <c r="A19" i="15"/>
  <c r="A21" i="15"/>
  <c r="A23" i="15"/>
  <c r="A25" i="15"/>
  <c r="A31" i="15"/>
  <c r="A35" i="15"/>
  <c r="A40" i="15"/>
  <c r="G31" i="21"/>
  <c r="M31" i="21"/>
  <c r="G30" i="21"/>
  <c r="M30" i="21"/>
  <c r="G29" i="21"/>
  <c r="M29" i="21"/>
  <c r="G28" i="21"/>
  <c r="M28" i="21"/>
  <c r="G27" i="21"/>
  <c r="M27" i="21"/>
  <c r="G26" i="21"/>
  <c r="M26" i="21"/>
  <c r="G25" i="21"/>
  <c r="M25" i="21"/>
  <c r="M32" i="21"/>
  <c r="M33" i="21"/>
  <c r="A11" i="20"/>
  <c r="A12" i="20"/>
  <c r="A13" i="20"/>
  <c r="A14" i="20"/>
  <c r="A15" i="20"/>
  <c r="A19" i="20"/>
  <c r="A20" i="20"/>
  <c r="A21" i="20"/>
  <c r="A22" i="20"/>
  <c r="A23" i="20"/>
  <c r="A24" i="20"/>
  <c r="A12" i="14"/>
  <c r="A13" i="14"/>
  <c r="A14" i="14"/>
  <c r="A16" i="14"/>
  <c r="A5" i="19"/>
  <c r="A11" i="19"/>
  <c r="A3" i="17"/>
  <c r="A4" i="17"/>
  <c r="A5" i="17"/>
  <c r="G8" i="21"/>
  <c r="M8" i="21"/>
  <c r="G9" i="21"/>
  <c r="M9" i="21"/>
  <c r="G7" i="21"/>
  <c r="M7" i="21"/>
  <c r="G5" i="21"/>
  <c r="M5" i="21"/>
  <c r="G6" i="21"/>
  <c r="M6" i="21"/>
  <c r="M4" i="21"/>
  <c r="M3" i="21"/>
  <c r="M10" i="21"/>
  <c r="A4" i="21"/>
  <c r="A5" i="21"/>
  <c r="A6" i="21"/>
  <c r="A7" i="21"/>
  <c r="A8" i="21"/>
  <c r="A9" i="21"/>
  <c r="A25" i="21"/>
  <c r="A26" i="21"/>
  <c r="A27" i="21"/>
  <c r="A28" i="21"/>
  <c r="A29" i="21"/>
  <c r="A30" i="21"/>
  <c r="A31" i="21"/>
  <c r="D11" i="15"/>
  <c r="G22" i="14"/>
  <c r="G23" i="14"/>
  <c r="G24" i="14"/>
  <c r="G25" i="14"/>
  <c r="D43" i="16"/>
  <c r="G21" i="14"/>
  <c r="H26" i="14"/>
  <c r="L10" i="14"/>
  <c r="F58" i="14"/>
  <c r="G58" i="14"/>
  <c r="A17" i="14"/>
  <c r="A20" i="14"/>
  <c r="A21" i="14"/>
  <c r="A22" i="14"/>
  <c r="A23" i="14"/>
  <c r="A24" i="14"/>
  <c r="A25" i="14"/>
  <c r="A28" i="14"/>
  <c r="A29" i="14"/>
  <c r="A32" i="14"/>
  <c r="A33" i="14"/>
  <c r="J25" i="19"/>
  <c r="M22" i="21"/>
  <c r="A70" i="16"/>
  <c r="A71" i="16"/>
  <c r="A72" i="16"/>
  <c r="A74" i="16"/>
  <c r="A76" i="16"/>
  <c r="M11" i="21"/>
  <c r="A6" i="17"/>
  <c r="A7" i="17"/>
  <c r="A9" i="17"/>
  <c r="G18" i="21"/>
  <c r="M18" i="21"/>
  <c r="G17" i="14"/>
  <c r="H18" i="14"/>
  <c r="L9" i="14"/>
  <c r="F52" i="14"/>
  <c r="G52" i="14"/>
  <c r="F51" i="14"/>
  <c r="F57" i="14"/>
  <c r="G57" i="14"/>
  <c r="A34" i="14"/>
  <c r="A35" i="14"/>
  <c r="A36" i="14"/>
  <c r="A39" i="14"/>
  <c r="A40" i="14"/>
  <c r="A41" i="14"/>
  <c r="A42" i="14"/>
  <c r="A45" i="14"/>
  <c r="A48" i="14"/>
  <c r="A49" i="14"/>
  <c r="G51" i="14"/>
  <c r="F55" i="14"/>
  <c r="G55" i="14"/>
</calcChain>
</file>

<file path=xl/sharedStrings.xml><?xml version="1.0" encoding="utf-8"?>
<sst xmlns="http://schemas.openxmlformats.org/spreadsheetml/2006/main" count="910" uniqueCount="472">
  <si>
    <t>HIV treatment and prevention through home based HIV counseling and testing and facilitated referral in KwaZulu-Natal: Itemised cost menu</t>
  </si>
  <si>
    <t>Planning activities</t>
  </si>
  <si>
    <t>Training activities</t>
  </si>
  <si>
    <t>CD4 Analyzer</t>
  </si>
  <si>
    <t>Testing supplies</t>
  </si>
  <si>
    <t>Gloves</t>
  </si>
  <si>
    <t>Referral cards</t>
  </si>
  <si>
    <t>SIM card</t>
  </si>
  <si>
    <t>Memory card</t>
  </si>
  <si>
    <t>Cost</t>
  </si>
  <si>
    <t>Annual cost</t>
  </si>
  <si>
    <t>Unit cost</t>
  </si>
  <si>
    <t>Annualizing factor</t>
  </si>
  <si>
    <t>Discount rate</t>
  </si>
  <si>
    <t>Number of years of remaining useful life</t>
  </si>
  <si>
    <t>CD4 Printer</t>
  </si>
  <si>
    <t>Analyzer bags</t>
  </si>
  <si>
    <t>ZAR</t>
  </si>
  <si>
    <t>ZAR USD exchange rate</t>
  </si>
  <si>
    <t>CD4 Cartridge</t>
  </si>
  <si>
    <t>PIMA bead standard</t>
  </si>
  <si>
    <t>PIMA finger stick sample collection kit</t>
  </si>
  <si>
    <t>Printer paper</t>
  </si>
  <si>
    <t>number</t>
  </si>
  <si>
    <t>days</t>
  </si>
  <si>
    <t>Start</t>
  </si>
  <si>
    <t>am</t>
  </si>
  <si>
    <t>End</t>
  </si>
  <si>
    <t>pm</t>
  </si>
  <si>
    <t>hours/day</t>
  </si>
  <si>
    <t>or</t>
  </si>
  <si>
    <t xml:space="preserve">List of health workers </t>
  </si>
  <si>
    <t>Number</t>
  </si>
  <si>
    <t>Distance Km.</t>
  </si>
  <si>
    <t>Time minutes</t>
  </si>
  <si>
    <t>Provide information by Month, if available</t>
  </si>
  <si>
    <t>HBCT</t>
  </si>
  <si>
    <t xml:space="preserve">Personnel </t>
  </si>
  <si>
    <t># of hours works on HBCT per day</t>
  </si>
  <si>
    <t>Weekend day</t>
  </si>
  <si>
    <t>Week day</t>
  </si>
  <si>
    <t>Travel stipend/km</t>
  </si>
  <si>
    <t>Travel stipend/hour</t>
  </si>
  <si>
    <t># tested/ day</t>
  </si>
  <si>
    <t># tested/ month</t>
  </si>
  <si>
    <t># days worked/month</t>
  </si>
  <si>
    <t># first test in the last year/ day</t>
  </si>
  <si>
    <t>weeks</t>
  </si>
  <si>
    <t>Rand/km</t>
  </si>
  <si>
    <t>Rand/hour</t>
  </si>
  <si>
    <t>Follow-up visits</t>
  </si>
  <si>
    <t>hours per week</t>
  </si>
  <si>
    <t>Does annual salary include a 13th check</t>
  </si>
  <si>
    <t>1 Nurse</t>
  </si>
  <si>
    <t>2 Coordinator</t>
  </si>
  <si>
    <t># fu/ day</t>
  </si>
  <si>
    <t># m1 fu/ day</t>
  </si>
  <si>
    <t># m3 fu/ day</t>
  </si>
  <si>
    <t># m6 fu/ day</t>
  </si>
  <si>
    <t># HIV test 1</t>
  </si>
  <si>
    <t># HIV test 2</t>
  </si>
  <si>
    <t># HIV test 3</t>
  </si>
  <si>
    <t>Average distance and time traveled per day</t>
  </si>
  <si>
    <t># fu visits/ month</t>
  </si>
  <si>
    <t>Number of days worked per year (minus holidays)</t>
  </si>
  <si>
    <t>Initial testing visit</t>
  </si>
  <si>
    <t># kits/ month</t>
  </si>
  <si>
    <t># days worked /month</t>
  </si>
  <si>
    <t>Follow-up visits by type</t>
  </si>
  <si>
    <t># days worked/ month</t>
  </si>
  <si>
    <t># m1 fu/ month</t>
  </si>
  <si>
    <t># m3 fu/ month</t>
  </si>
  <si>
    <t># m6 fu/ month</t>
  </si>
  <si>
    <t>Average number of people followed up per day</t>
  </si>
  <si>
    <t>Average number m1 follow up visits per day</t>
  </si>
  <si>
    <t>Average number m3 follow up visits per day</t>
  </si>
  <si>
    <t>Average number m6 follow up visits per day</t>
  </si>
  <si>
    <t># first test ever/ day</t>
  </si>
  <si>
    <t>HIV testing</t>
  </si>
  <si>
    <t>CD4 Rapid testing</t>
  </si>
  <si>
    <t>cost in Rands</t>
  </si>
  <si>
    <t xml:space="preserve"> </t>
  </si>
  <si>
    <t>number used per test</t>
  </si>
  <si>
    <t>Capillary tube per unit</t>
  </si>
  <si>
    <t>Alcohol swab per unit</t>
  </si>
  <si>
    <t>Cotton ball per unit</t>
  </si>
  <si>
    <t>Plaster/Band Aid per unit</t>
  </si>
  <si>
    <t>cost of HV test kits per person tested</t>
  </si>
  <si>
    <t>cost per person tested</t>
  </si>
  <si>
    <t># people tested in 1 year</t>
  </si>
  <si>
    <t>Other</t>
  </si>
  <si>
    <t># used/person tested</t>
  </si>
  <si>
    <t>Average or use data from June</t>
  </si>
  <si>
    <t>Pens</t>
  </si>
  <si>
    <t>Smart phones</t>
  </si>
  <si>
    <t>Air time</t>
  </si>
  <si>
    <t>Software development</t>
  </si>
  <si>
    <t>Programming support</t>
  </si>
  <si>
    <t>Clyral quote</t>
  </si>
  <si>
    <t>Data analysis including follow-up visit schedule</t>
  </si>
  <si>
    <t>Start up activity costs</t>
  </si>
  <si>
    <t>Electronic data capture</t>
  </si>
  <si>
    <t>Cost of mapping enumeration area</t>
  </si>
  <si>
    <t>Hours spent hiring staff</t>
  </si>
  <si>
    <t>Hourly salary of staff doing the training</t>
  </si>
  <si>
    <t>Hourly salary of staff doing the hiring</t>
  </si>
  <si>
    <t>Hourly salary of staff while they are training</t>
  </si>
  <si>
    <t>5 Driver</t>
  </si>
  <si>
    <t>Cooler box</t>
  </si>
  <si>
    <t>number used for study</t>
  </si>
  <si>
    <t>Transportation costs</t>
  </si>
  <si>
    <t>Year of purchase</t>
  </si>
  <si>
    <t>Average useful years of life</t>
  </si>
  <si>
    <t xml:space="preserve">Annual distance traveled </t>
  </si>
  <si>
    <t>RECURRENT</t>
  </si>
  <si>
    <t>Fuel consumption
(km/lit)</t>
  </si>
  <si>
    <t>Cost from study budget</t>
  </si>
  <si>
    <t>Is this cost necessary for implementation</t>
  </si>
  <si>
    <t>Distance traveled during delivery of HBCT</t>
  </si>
  <si>
    <t>CD4 cartridges per unit</t>
  </si>
  <si>
    <t>Gloves per unit</t>
  </si>
  <si>
    <t>Pens per unit</t>
  </si>
  <si>
    <t>HIV test 1 per unit</t>
  </si>
  <si>
    <t>HIV test 2 per unit</t>
  </si>
  <si>
    <t>HIV test 3 per unit</t>
  </si>
  <si>
    <t>Type of worker - Title</t>
  </si>
  <si>
    <t>Civil servant grade</t>
  </si>
  <si>
    <t># of years of experience</t>
  </si>
  <si>
    <t>Additional benefits</t>
  </si>
  <si>
    <t>Vacation days</t>
  </si>
  <si>
    <t>Annual cost of staff</t>
  </si>
  <si>
    <t>Allowances for work (e.g. per diem &amp; travel allowances)</t>
  </si>
  <si>
    <t>Per diem meals</t>
  </si>
  <si>
    <t>Per diem other</t>
  </si>
  <si>
    <t>Rand/day</t>
  </si>
  <si>
    <t>Line #</t>
  </si>
  <si>
    <t>No of households covered by the pilot:</t>
  </si>
  <si>
    <t>Resident population of the households covered by the pilot:</t>
  </si>
  <si>
    <t>How many days a week do HBCT team members work?</t>
  </si>
  <si>
    <t>How many weeks a year do HBCT team members work?</t>
  </si>
  <si>
    <t>What are the HBCT operating hours?</t>
  </si>
  <si>
    <t>How many hours a day do staff usually work?</t>
  </si>
  <si>
    <t>How many hours a day do staff usually spend planning visits?</t>
  </si>
  <si>
    <t>How many hours a day do staff usually spend on home visits (including traveling)?</t>
  </si>
  <si>
    <t>How many hours a day do staff usually spend on training/debriefing?</t>
  </si>
  <si>
    <t>Please list all the HBCT staff</t>
  </si>
  <si>
    <t>HBCT Travel</t>
  </si>
  <si>
    <t>Do health workers earn a stipend while travelling?</t>
  </si>
  <si>
    <t>How many days a year do HBCT team members work?</t>
  </si>
  <si>
    <t>Line#</t>
  </si>
  <si>
    <t>Cost of supplies for additional testing per HIV+ person identified and referred</t>
  </si>
  <si>
    <t>Additional testing if HIV+</t>
  </si>
  <si>
    <t>Cost of supplies (including HIV test kit) per person tested for HIV</t>
  </si>
  <si>
    <t>Cost per test kit and supplies</t>
  </si>
  <si>
    <t>Cost of supplies (including test kits) for additional tests per HIV+ person tested</t>
  </si>
  <si>
    <t>Cost of supplies (including test kits) per person tested for HIV</t>
  </si>
  <si>
    <t>Average number of HIV+ persons for additional testing per day</t>
  </si>
  <si>
    <t># POC CD4 tests/day</t>
  </si>
  <si>
    <t># POC CD4 tests/ month</t>
  </si>
  <si>
    <t># HIV test kits/day</t>
  </si>
  <si>
    <t>CD4 Analyzer per unit</t>
  </si>
  <si>
    <t>Analyzer bag per unit</t>
  </si>
  <si>
    <t>POC viral load kit per unit</t>
  </si>
  <si>
    <t>Phlebotomy supplies per unit for VL testing</t>
  </si>
  <si>
    <t>Number of HIV kits used per day</t>
  </si>
  <si>
    <t>Number of POC CD4 test kits used per day</t>
  </si>
  <si>
    <t>Number in box</t>
  </si>
  <si>
    <t>Cost per box (ZAR)</t>
  </si>
  <si>
    <t>Number of rapid HIV kits/person tested</t>
  </si>
  <si>
    <t>total cost (ZAR)</t>
  </si>
  <si>
    <t>unit cost (ZAR)</t>
  </si>
  <si>
    <t>units used per year</t>
  </si>
  <si>
    <t>Kits and supplies for HIV testing per year</t>
  </si>
  <si>
    <t>Kits and supplies for additional tests for HIV+ persons per year</t>
  </si>
  <si>
    <t>Total cost</t>
  </si>
  <si>
    <t>Average number of follow up visits per month</t>
  </si>
  <si>
    <t>Average number of follow up visits per year</t>
  </si>
  <si>
    <t>No, DoH already has maps</t>
  </si>
  <si>
    <t>Hours spent training staff</t>
  </si>
  <si>
    <t>Hours spent on community sensitization</t>
  </si>
  <si>
    <t>Hourly salary of staff during community sensitization</t>
  </si>
  <si>
    <t>Mapping</t>
  </si>
  <si>
    <t>Staff hiring</t>
  </si>
  <si>
    <t>Item</t>
  </si>
  <si>
    <t>Start up costs</t>
  </si>
  <si>
    <t>Staff training</t>
  </si>
  <si>
    <t>Maintenance cost
(Rand/year)</t>
  </si>
  <si>
    <t>Highway bridge tolls, fees
(Rands/year)</t>
  </si>
  <si>
    <t>Fuel price
(Rands/lit)</t>
  </si>
  <si>
    <t>Annual capital cost of vehicles</t>
  </si>
  <si>
    <t>Annual recurrent cost of vehicles</t>
  </si>
  <si>
    <t>Transport</t>
  </si>
  <si>
    <t>Total</t>
  </si>
  <si>
    <t>Supplies for testing</t>
  </si>
  <si>
    <t>Cost per person tested</t>
  </si>
  <si>
    <t>Total cost per person tested</t>
  </si>
  <si>
    <t>Cost per person followed up</t>
  </si>
  <si>
    <t># follow-up visits  in 1 year</t>
  </si>
  <si>
    <t>cost per follow-up visit</t>
  </si>
  <si>
    <t>Total cost per follow-up visit</t>
  </si>
  <si>
    <t>Annual total cost for HIV testing</t>
  </si>
  <si>
    <t>Annual total cost for follow-up visits</t>
  </si>
  <si>
    <t># days testing done per year</t>
  </si>
  <si>
    <t># tested per year</t>
  </si>
  <si>
    <t>How many days a year do HBCT team members do HIV testing?</t>
  </si>
  <si>
    <t>Cost per HIV+ person - initial visit</t>
  </si>
  <si>
    <t>Total cost per HIV+ person - initial visit</t>
  </si>
  <si>
    <t>Annual total cost additional testing for HIV+</t>
  </si>
  <si>
    <t>Cost of ART</t>
  </si>
  <si>
    <t>Name of ART</t>
  </si>
  <si>
    <t>Number in unit</t>
  </si>
  <si>
    <t>Number of participants on ART at enrollment</t>
  </si>
  <si>
    <t>Number of (new) participants on ART at m1 visit</t>
  </si>
  <si>
    <t>Number of (new) participants on ART at m3 visit</t>
  </si>
  <si>
    <t>Number of (new) participants on ART at m6 visit</t>
  </si>
  <si>
    <t>Annual cost of (new) participants on ART at m1 visit</t>
  </si>
  <si>
    <t xml:space="preserve">Annual cost of (new) participants on ART </t>
  </si>
  <si>
    <t>Total (ZAR)</t>
  </si>
  <si>
    <t>Cost per month (DoH) in ZAR</t>
  </si>
  <si>
    <t>ART costs</t>
  </si>
  <si>
    <t>Annual cost of additional ART for participants identified in HBCT</t>
  </si>
  <si>
    <t>Cost of Office supplies and Misc items</t>
  </si>
  <si>
    <t>Number used per year</t>
  </si>
  <si>
    <t>Capital items</t>
  </si>
  <si>
    <t>White board</t>
  </si>
  <si>
    <t>Recurrent items</t>
  </si>
  <si>
    <t>Office and misc items</t>
  </si>
  <si>
    <t>Annualized cost of vehicles</t>
  </si>
  <si>
    <t>Annual cost of office supplies and misc items</t>
  </si>
  <si>
    <t>Name (make, model, capacity…)</t>
  </si>
  <si>
    <t xml:space="preserve">Summary </t>
  </si>
  <si>
    <t>Annualized cost in Rands</t>
  </si>
  <si>
    <t>Costs from study budget</t>
  </si>
  <si>
    <t>Annualized cost per year</t>
  </si>
  <si>
    <t>Provide information by Month</t>
  </si>
  <si>
    <t>existing data</t>
  </si>
  <si>
    <t>Advertising cost</t>
  </si>
  <si>
    <t>Design advert - 1-2 hours</t>
  </si>
  <si>
    <t>Short listing</t>
  </si>
  <si>
    <t>Appointments (salary benchmarking, checking history)</t>
  </si>
  <si>
    <t>Interviews - panel</t>
  </si>
  <si>
    <t>Three weeks - orientation, protocol, practical</t>
  </si>
  <si>
    <t>Community events - meetings, gatherings - per event cost</t>
  </si>
  <si>
    <t>Community preparedness - 1 month, permission at leadership level, at traditional district counsel, chief's counsellors, key informants, major social networks, targetting message through official structure, social networks, key stakeholders</t>
  </si>
  <si>
    <t>Community sensitization - 2 months</t>
  </si>
  <si>
    <t>Time spent - staff over the first recruitment phase</t>
  </si>
  <si>
    <t>By activity</t>
  </si>
  <si>
    <t>minus staff meeting (12 days), training (6 days),</t>
  </si>
  <si>
    <t>log book - random sample</t>
  </si>
  <si>
    <t>No</t>
  </si>
  <si>
    <t>Are provided travel home at night - get estimate from log book</t>
  </si>
  <si>
    <t>Purchasing price</t>
  </si>
  <si>
    <t>Name (make, model, capacity…) - two vehicles</t>
  </si>
  <si>
    <t>QA/QC - DBS costs</t>
  </si>
  <si>
    <t>Follow-up visits - check with Zipho</t>
  </si>
  <si>
    <t>Air time - voice calls and data sending costs</t>
  </si>
  <si>
    <t>ART costs - national pricing of medication</t>
  </si>
  <si>
    <t>Computers - 3 (Zipho 1, 2 for samples)</t>
  </si>
  <si>
    <t>Printer - 1</t>
  </si>
  <si>
    <t>Bar code scanners - 2</t>
  </si>
  <si>
    <t>Server - 1</t>
  </si>
  <si>
    <t>Printer paper - 100 (5 reams per box) reams per year</t>
  </si>
  <si>
    <t>Data projector - shared</t>
  </si>
  <si>
    <t>Data projector screen - shared</t>
  </si>
  <si>
    <t>Supplies for training</t>
  </si>
  <si>
    <t>Binders</t>
  </si>
  <si>
    <t>Participant reimbursement R60 per contact</t>
  </si>
  <si>
    <t>Stationery costs - annual include binders, archiving etc</t>
  </si>
  <si>
    <t>QA/QC - laboratory costs</t>
  </si>
  <si>
    <t>DBS 10% at the start of the program and then 5%</t>
  </si>
  <si>
    <t>courier costs - every three weeks</t>
  </si>
  <si>
    <t>DBS - R85 rand per test</t>
  </si>
  <si>
    <t>Category</t>
  </si>
  <si>
    <t>Surname</t>
  </si>
  <si>
    <t>Name</t>
  </si>
  <si>
    <t>Hourly Rate</t>
  </si>
  <si>
    <t>Monthly Salary</t>
  </si>
  <si>
    <t>Time Allocation per Week</t>
  </si>
  <si>
    <t>Recruitment Hours</t>
  </si>
  <si>
    <t>Training Hours</t>
  </si>
  <si>
    <t>Site Investigator</t>
  </si>
  <si>
    <t>van Rooyen</t>
  </si>
  <si>
    <t>Heidi</t>
  </si>
  <si>
    <t>Mobile Data Support</t>
  </si>
  <si>
    <t>van Heerden</t>
  </si>
  <si>
    <t>Al</t>
  </si>
  <si>
    <t>Operations Support</t>
  </si>
  <si>
    <t>Joseph</t>
  </si>
  <si>
    <t>Philip</t>
  </si>
  <si>
    <t>Outreach Support</t>
  </si>
  <si>
    <t xml:space="preserve">Ngubane </t>
  </si>
  <si>
    <t>Thulani</t>
  </si>
  <si>
    <t>Nurse Support</t>
  </si>
  <si>
    <t>Mbanjwa</t>
  </si>
  <si>
    <t>Mbongeni</t>
  </si>
  <si>
    <t>Salary for recruitment</t>
  </si>
  <si>
    <t>Salary for training</t>
  </si>
  <si>
    <t>Senior data technician</t>
  </si>
  <si>
    <t>Dladla</t>
  </si>
  <si>
    <t>Pumla</t>
  </si>
  <si>
    <t>Data Technician</t>
  </si>
  <si>
    <t>Moshesha</t>
  </si>
  <si>
    <t>Thandi</t>
  </si>
  <si>
    <t>Study coordinator</t>
  </si>
  <si>
    <t>Phakathi</t>
  </si>
  <si>
    <t>Zipho</t>
  </si>
  <si>
    <t>Outreach Worker/Driver 3</t>
  </si>
  <si>
    <t xml:space="preserve">Phakathi </t>
  </si>
  <si>
    <t>Lungisile Promise</t>
  </si>
  <si>
    <t>Driver 1</t>
  </si>
  <si>
    <t>Khumalo</t>
  </si>
  <si>
    <t>MC</t>
  </si>
  <si>
    <t>Driver 2</t>
  </si>
  <si>
    <t>RS</t>
  </si>
  <si>
    <t>Prevention Counsellors 1</t>
  </si>
  <si>
    <t>Liphiyane</t>
  </si>
  <si>
    <t>Sindiswa</t>
  </si>
  <si>
    <t>Prevention Counsellors 2</t>
  </si>
  <si>
    <t>Mdladla</t>
  </si>
  <si>
    <t xml:space="preserve">Makhosazane </t>
  </si>
  <si>
    <t>Prevention Counsellors 3</t>
  </si>
  <si>
    <t xml:space="preserve">Ngcobo </t>
  </si>
  <si>
    <t>Gugu</t>
  </si>
  <si>
    <t>Nurse 1</t>
  </si>
  <si>
    <t>Kunene</t>
  </si>
  <si>
    <t>Thamsanqa</t>
  </si>
  <si>
    <t>Nurse 2</t>
  </si>
  <si>
    <t>Zuma</t>
  </si>
  <si>
    <t>Nobuhle Millicent</t>
  </si>
  <si>
    <t>3 weeks</t>
  </si>
  <si>
    <t>Community sensitization - 2 month</t>
  </si>
  <si>
    <t>Community preparedness - 1 month</t>
  </si>
  <si>
    <t>Community mobilization - ongoing</t>
  </si>
  <si>
    <t>Cost per event</t>
  </si>
  <si>
    <t>Events per EA</t>
  </si>
  <si>
    <t>Number of Eas</t>
  </si>
  <si>
    <t>total</t>
  </si>
  <si>
    <t>Monthly salary for type of worker (Rands)</t>
  </si>
  <si>
    <t>3 Community worker/counsellor as part of testing</t>
  </si>
  <si>
    <t>Travel home</t>
  </si>
  <si>
    <t>Book this month</t>
  </si>
  <si>
    <t>Book this year</t>
  </si>
  <si>
    <t>Vehicle - Ford Ranger 2.5td Bakkie - ND172355</t>
  </si>
  <si>
    <t>Community mobilization - volunteers (stipends - ZAR 2000 per month), engage with people, ongoing until first wave complete</t>
  </si>
  <si>
    <t>Number of volunteers</t>
  </si>
  <si>
    <t>Stipend per month</t>
  </si>
  <si>
    <t>Number of months worked</t>
  </si>
  <si>
    <t>Community preparedness</t>
  </si>
  <si>
    <t>Community mobilization</t>
  </si>
  <si>
    <t>Community mobilization - volunteers</t>
  </si>
  <si>
    <t>Community sensitization - staff and events</t>
  </si>
  <si>
    <t>Nurses (2)</t>
  </si>
  <si>
    <t>Coordinator (1)</t>
  </si>
  <si>
    <t>Personnel (N)</t>
  </si>
  <si>
    <t>Programming for data capture</t>
  </si>
  <si>
    <t>4 Data technician</t>
  </si>
  <si>
    <t>Data technician (0)</t>
  </si>
  <si>
    <t>Driver (3 of which 1 also does community outreach (3)</t>
  </si>
  <si>
    <t>Ongoing community mobilisation (volunteer stipend)</t>
  </si>
  <si>
    <t>Community worker - counselling &amp; testing (3)</t>
  </si>
  <si>
    <t>Annual recurrent costs of transportation - fuel</t>
  </si>
  <si>
    <t>Vehicle - Ford Ranger 2.5TD Bakkie - ND172366</t>
  </si>
  <si>
    <t>Vehicle - Ford Ranger 2.5TD Bakkie - ND172369</t>
  </si>
  <si>
    <t>Average distance travelled per week</t>
  </si>
  <si>
    <t>June 12 -18</t>
  </si>
  <si>
    <t>June 5 - 11</t>
  </si>
  <si>
    <t>May 29 - June 4</t>
  </si>
  <si>
    <t>May 22 - 28</t>
  </si>
  <si>
    <t>Distance traveled during delivery of HBCT per week</t>
  </si>
  <si>
    <t>Weeks worked per year</t>
  </si>
  <si>
    <t>Average number of people tested for HIV per day (range 7-9)</t>
  </si>
  <si>
    <t>Screening kit</t>
  </si>
  <si>
    <t>Cost of supplies per year for HIV testing</t>
  </si>
  <si>
    <r>
      <rPr>
        <b/>
        <sz val="11"/>
        <color theme="1"/>
        <rFont val="Calibri"/>
        <family val="2"/>
        <scheme val="minor"/>
      </rPr>
      <t>Cost of supplies per year for additional testing if HIV+ (2nd HIV + CD4</t>
    </r>
    <r>
      <rPr>
        <sz val="11"/>
        <color theme="1"/>
        <rFont val="Calibri"/>
        <family val="2"/>
        <scheme val="minor"/>
      </rPr>
      <t>)</t>
    </r>
  </si>
  <si>
    <t>Test kit supplies</t>
  </si>
  <si>
    <t>PIMA bead standard (2 units)</t>
  </si>
  <si>
    <t>Annualized cost of CD4 Analyzer (2 units)</t>
  </si>
  <si>
    <t>Annualized cost of Analyzer bag (2 units)</t>
  </si>
  <si>
    <t>Software development - annualized cost</t>
  </si>
  <si>
    <t>Annualized cost of software development</t>
  </si>
  <si>
    <t>Phones (5)</t>
  </si>
  <si>
    <t>Airtime</t>
  </si>
  <si>
    <r>
      <t xml:space="preserve">Survey </t>
    </r>
    <r>
      <rPr>
        <sz val="11"/>
        <color rgb="FF000000"/>
        <rFont val="Calibri"/>
        <family val="2"/>
      </rPr>
      <t> </t>
    </r>
  </si>
  <si>
    <r>
      <t> </t>
    </r>
    <r>
      <rPr>
        <b/>
        <sz val="11"/>
        <color rgb="FF000000"/>
        <rFont val="Calibri"/>
        <family val="2"/>
      </rPr>
      <t xml:space="preserve">Quantity </t>
    </r>
    <r>
      <rPr>
        <sz val="11"/>
        <color rgb="FF000000"/>
        <rFont val="Calibri"/>
        <family val="2"/>
      </rPr>
      <t> </t>
    </r>
  </si>
  <si>
    <r>
      <t> </t>
    </r>
    <r>
      <rPr>
        <b/>
        <sz val="11"/>
        <color rgb="FF000000"/>
        <rFont val="Calibri"/>
        <family val="2"/>
      </rPr>
      <t xml:space="preserve">Avg Credits </t>
    </r>
    <r>
      <rPr>
        <sz val="11"/>
        <color rgb="FF000000"/>
        <rFont val="Calibri"/>
        <family val="2"/>
      </rPr>
      <t> </t>
    </r>
  </si>
  <si>
    <r>
      <t> </t>
    </r>
    <r>
      <rPr>
        <b/>
        <sz val="11"/>
        <color rgb="FF000000"/>
        <rFont val="Calibri"/>
        <family val="2"/>
      </rPr>
      <t xml:space="preserve">Total </t>
    </r>
    <r>
      <rPr>
        <sz val="11"/>
        <color rgb="FF000000"/>
        <rFont val="Calibri"/>
        <family val="2"/>
      </rPr>
      <t> </t>
    </r>
  </si>
  <si>
    <t>Disclosure Survey  </t>
  </si>
  <si>
    <t>HH Enumeration Survey  </t>
  </si>
  <si>
    <t>Household Couples Survey  </t>
  </si>
  <si>
    <t>   </t>
  </si>
  <si>
    <r>
      <t xml:space="preserve">Total Credits </t>
    </r>
    <r>
      <rPr>
        <sz val="11"/>
        <color rgb="FF000000"/>
        <rFont val="Calibri"/>
        <family val="2"/>
      </rPr>
      <t> </t>
    </r>
  </si>
  <si>
    <t>cost</t>
  </si>
  <si>
    <t>Data capture (back end)</t>
  </si>
  <si>
    <t>Per phone</t>
  </si>
  <si>
    <t>TDF based ART per month</t>
  </si>
  <si>
    <t>Cost of medical care</t>
  </si>
  <si>
    <t>Cost per year (DoH) in ZAR</t>
  </si>
  <si>
    <t>ART + care</t>
  </si>
  <si>
    <t>% of people newly started on ART</t>
  </si>
  <si>
    <t>Description</t>
  </si>
  <si>
    <t>Book Prior Years</t>
  </si>
  <si>
    <t>In Service From</t>
  </si>
  <si>
    <t>Book this Period</t>
  </si>
  <si>
    <t>Book this Year</t>
  </si>
  <si>
    <t>Book Value</t>
  </si>
  <si>
    <t>Date Purchased</t>
  </si>
  <si>
    <t>Purchase Price</t>
  </si>
  <si>
    <t>Notebook - Dell Latitude E5500 plus Carry Case</t>
  </si>
  <si>
    <t>2009/07/07</t>
  </si>
  <si>
    <t>CPU</t>
  </si>
  <si>
    <t>2004/08/13</t>
  </si>
  <si>
    <t>Monitor - Mecer 17</t>
  </si>
  <si>
    <t>CPU - MECER</t>
  </si>
  <si>
    <t>2004/03/25</t>
  </si>
  <si>
    <t>CPU - Mecer - Black</t>
  </si>
  <si>
    <t>Monitor - Mecer 22  LCD - Black</t>
  </si>
  <si>
    <t>Scanner - Mecer Laserjet Barcode Scanner with Stand</t>
  </si>
  <si>
    <t>2009/11/18</t>
  </si>
  <si>
    <t>Scanner - Mecer Laserjet Barcode Scanner</t>
  </si>
  <si>
    <t>Screen - Pull Down</t>
  </si>
  <si>
    <t>2009/01/08</t>
  </si>
  <si>
    <t>Projector - Acer P1165 - Data</t>
  </si>
  <si>
    <t>2008/08/08</t>
  </si>
  <si>
    <t>Cellphone - Nokia E611</t>
  </si>
  <si>
    <t>2008/03/04</t>
  </si>
  <si>
    <t>2009/12/08</t>
  </si>
  <si>
    <t>Consumeables</t>
  </si>
  <si>
    <t>Monthly Cost</t>
  </si>
  <si>
    <t>Stationary (Printing paper, general office supplies etc)</t>
  </si>
  <si>
    <t>Air-time allocation (Field communications, Data transmission )</t>
  </si>
  <si>
    <t>Test Kits</t>
  </si>
  <si>
    <t>Unit Cost</t>
  </si>
  <si>
    <t>Screening Rapid Test: Abbott Determine</t>
  </si>
  <si>
    <t>R 2255.00 (per 100)</t>
  </si>
  <si>
    <t>Confirmatory Rapid Test: SD Bioline</t>
  </si>
  <si>
    <t>R   276.25 (per   25)</t>
  </si>
  <si>
    <t>Screening Kits</t>
  </si>
  <si>
    <t>CD4 kit</t>
  </si>
  <si>
    <t>Leased Items</t>
  </si>
  <si>
    <t>Multifunction Printer Ricoh 1515</t>
  </si>
  <si>
    <t>Capital item total</t>
  </si>
  <si>
    <t>Annualized cost of capital items (office equipment)</t>
  </si>
  <si>
    <t>Yearly Cost</t>
  </si>
  <si>
    <t>USD</t>
  </si>
  <si>
    <t>Cost per person tested - everything</t>
  </si>
  <si>
    <t>Cost per person tested without ART costs</t>
  </si>
  <si>
    <t>Cost (USD)</t>
  </si>
  <si>
    <t>Cost per person tested without ART costs  and data capture</t>
  </si>
  <si>
    <t>Number tested</t>
  </si>
  <si>
    <t>Cost per person tested - without ART, data capture and start-up</t>
  </si>
  <si>
    <t>Ongoing community mobilisation (5 volunteer stipend)</t>
  </si>
  <si>
    <t xml:space="preserve">Capital item total using one computer and without scanners  </t>
  </si>
  <si>
    <t>Subtotal</t>
  </si>
  <si>
    <t>Additional ART &amp; care</t>
  </si>
  <si>
    <t>Cost per person tested - testing and treated (N=1616)</t>
  </si>
  <si>
    <t>Recurrent</t>
  </si>
  <si>
    <t>Vehicle rental cost</t>
  </si>
  <si>
    <t>N</t>
  </si>
  <si>
    <t>Total cost (ZAR)</t>
  </si>
  <si>
    <t>Total Cost (USD)</t>
  </si>
  <si>
    <t>Fixed or variable</t>
  </si>
  <si>
    <t xml:space="preserve">F </t>
  </si>
  <si>
    <t>F</t>
  </si>
  <si>
    <t>N/A</t>
  </si>
  <si>
    <t>V</t>
  </si>
  <si>
    <t>Community sensitization - events</t>
  </si>
  <si>
    <t>Community sensitization - staff</t>
  </si>
  <si>
    <t>Community preparedness - staff</t>
  </si>
  <si>
    <t>Staff training - staff</t>
  </si>
  <si>
    <t>Staff hiring - staff</t>
  </si>
  <si>
    <t>Data technician (1)</t>
  </si>
  <si>
    <t>Kits and supplies for additional tests (POC CD4) for HIV+ persons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</si>
</sst>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[$ZAR]\ #,##0.00"/>
    <numFmt numFmtId="166" formatCode="[$USD]\ #,##0.00"/>
    <numFmt numFmtId="167" formatCode="[$-409]mmm\-yy;@"/>
    <numFmt numFmtId="168" formatCode="_-* #,##0.00_-;\-* #,##0.00_-;_-* &quot;-&quot;??_-;_-@_-"/>
    <numFmt numFmtId="169" formatCode="_-* #,##0_-;\-* #,##0_-;_-* &quot;-&quot;??_-;_-@_-"/>
    <numFmt numFmtId="170" formatCode="_(* #,##0.000_);_(* \(#,##0.000\);_(* &quot;-&quot;???_);_(@_)"/>
    <numFmt numFmtId="171" formatCode="_-&quot;R&quot;* #,##0.00_-;\-&quot;R&quot;* #,##0.00_-;_-&quot;R&quot;* &quot;-&quot;??_-;_-@_-"/>
    <numFmt numFmtId="172" formatCode="&quot;R&quot;#,##0.00;[Red]\-&quot;R&quot;#,##0.00"/>
    <numFmt numFmtId="173" formatCode="[$ZAR]\ #,##0.00_);[Red]\([$ZAR]\ #,##0.00\)"/>
    <numFmt numFmtId="17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trike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4" fillId="0" borderId="0"/>
    <xf numFmtId="0" fontId="14" fillId="0" borderId="0"/>
  </cellStyleXfs>
  <cellXfs count="20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Font="1"/>
    <xf numFmtId="0" fontId="0" fillId="0" borderId="0" xfId="0" applyBorder="1"/>
    <xf numFmtId="0" fontId="0" fillId="0" borderId="0" xfId="0" applyFont="1" applyBorder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5" fontId="0" fillId="0" borderId="1" xfId="0" applyNumberFormat="1" applyBorder="1"/>
    <xf numFmtId="166" fontId="0" fillId="0" borderId="0" xfId="0" applyNumberFormat="1"/>
    <xf numFmtId="166" fontId="0" fillId="0" borderId="2" xfId="0" applyNumberFormat="1" applyBorder="1"/>
    <xf numFmtId="0" fontId="0" fillId="0" borderId="3" xfId="0" applyBorder="1"/>
    <xf numFmtId="0" fontId="2" fillId="0" borderId="0" xfId="0" applyFont="1"/>
    <xf numFmtId="0" fontId="2" fillId="0" borderId="16" xfId="0" applyFont="1" applyBorder="1"/>
    <xf numFmtId="167" fontId="0" fillId="0" borderId="16" xfId="0" applyNumberFormat="1" applyBorder="1" applyAlignment="1">
      <alignment horizontal="left"/>
    </xf>
    <xf numFmtId="0" fontId="0" fillId="0" borderId="16" xfId="0" applyBorder="1"/>
    <xf numFmtId="17" fontId="0" fillId="0" borderId="16" xfId="0" applyNumberFormat="1" applyBorder="1" applyAlignment="1">
      <alignment horizontal="left"/>
    </xf>
    <xf numFmtId="0" fontId="1" fillId="0" borderId="1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16" xfId="0" applyFont="1" applyBorder="1" applyAlignment="1">
      <alignment wrapText="1"/>
    </xf>
    <xf numFmtId="0" fontId="1" fillId="0" borderId="3" xfId="0" applyFont="1" applyBorder="1" applyAlignment="1">
      <alignment wrapText="1"/>
    </xf>
    <xf numFmtId="17" fontId="1" fillId="0" borderId="0" xfId="0" applyNumberFormat="1" applyFont="1" applyBorder="1" applyAlignment="1">
      <alignment horizontal="left"/>
    </xf>
    <xf numFmtId="167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167" fontId="1" fillId="0" borderId="0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wrapText="1"/>
    </xf>
    <xf numFmtId="0" fontId="4" fillId="0" borderId="3" xfId="0" applyFont="1" applyBorder="1"/>
    <xf numFmtId="0" fontId="0" fillId="0" borderId="3" xfId="0" applyFont="1" applyBorder="1"/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7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9" fillId="0" borderId="3" xfId="0" applyFont="1" applyBorder="1"/>
    <xf numFmtId="0" fontId="9" fillId="0" borderId="0" xfId="0" applyFont="1" applyBorder="1"/>
    <xf numFmtId="0" fontId="9" fillId="0" borderId="0" xfId="0" applyFont="1"/>
    <xf numFmtId="167" fontId="0" fillId="0" borderId="16" xfId="0" applyNumberFormat="1" applyFont="1" applyBorder="1" applyAlignment="1">
      <alignment horizontal="left"/>
    </xf>
    <xf numFmtId="0" fontId="0" fillId="0" borderId="16" xfId="0" applyFont="1" applyBorder="1"/>
    <xf numFmtId="17" fontId="0" fillId="0" borderId="16" xfId="0" applyNumberFormat="1" applyFont="1" applyBorder="1" applyAlignment="1">
      <alignment horizontal="left"/>
    </xf>
    <xf numFmtId="17" fontId="0" fillId="0" borderId="0" xfId="0" applyNumberFormat="1" applyFont="1" applyBorder="1" applyAlignment="1">
      <alignment horizontal="left"/>
    </xf>
    <xf numFmtId="167" fontId="0" fillId="0" borderId="0" xfId="0" applyNumberFormat="1" applyFont="1" applyBorder="1" applyAlignment="1">
      <alignment horizontal="left"/>
    </xf>
    <xf numFmtId="0" fontId="0" fillId="0" borderId="17" xfId="0" applyFont="1" applyBorder="1"/>
    <xf numFmtId="0" fontId="0" fillId="0" borderId="18" xfId="0" applyFont="1" applyBorder="1"/>
    <xf numFmtId="0" fontId="0" fillId="0" borderId="7" xfId="0" applyFont="1" applyBorder="1"/>
    <xf numFmtId="0" fontId="0" fillId="0" borderId="1" xfId="0" applyFont="1" applyBorder="1"/>
    <xf numFmtId="0" fontId="9" fillId="0" borderId="0" xfId="0" applyFont="1" applyFill="1" applyAlignment="1">
      <alignment vertical="top"/>
    </xf>
    <xf numFmtId="0" fontId="8" fillId="0" borderId="3" xfId="0" applyFont="1" applyBorder="1"/>
    <xf numFmtId="0" fontId="8" fillId="0" borderId="0" xfId="0" applyFont="1" applyBorder="1"/>
    <xf numFmtId="0" fontId="8" fillId="0" borderId="0" xfId="0" applyFont="1"/>
    <xf numFmtId="0" fontId="8" fillId="0" borderId="16" xfId="0" applyFont="1" applyBorder="1"/>
    <xf numFmtId="0" fontId="8" fillId="0" borderId="16" xfId="0" applyFont="1" applyBorder="1" applyAlignment="1">
      <alignment wrapText="1"/>
    </xf>
    <xf numFmtId="0" fontId="8" fillId="0" borderId="5" xfId="0" applyFont="1" applyBorder="1"/>
    <xf numFmtId="0" fontId="8" fillId="0" borderId="9" xfId="0" applyFont="1" applyBorder="1"/>
    <xf numFmtId="0" fontId="8" fillId="0" borderId="20" xfId="0" applyFont="1" applyBorder="1"/>
    <xf numFmtId="0" fontId="8" fillId="0" borderId="19" xfId="0" applyFont="1" applyBorder="1"/>
    <xf numFmtId="0" fontId="1" fillId="0" borderId="16" xfId="0" applyFont="1" applyBorder="1"/>
    <xf numFmtId="0" fontId="5" fillId="0" borderId="0" xfId="0" applyFont="1" applyFill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Alignment="1">
      <alignment vertical="top"/>
    </xf>
    <xf numFmtId="0" fontId="8" fillId="0" borderId="0" xfId="0" applyFont="1" applyAlignment="1"/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Border="1"/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justify"/>
    </xf>
    <xf numFmtId="0" fontId="0" fillId="0" borderId="13" xfId="0" applyFont="1" applyBorder="1"/>
    <xf numFmtId="0" fontId="9" fillId="0" borderId="14" xfId="0" applyFont="1" applyBorder="1"/>
    <xf numFmtId="0" fontId="0" fillId="0" borderId="15" xfId="0" applyFont="1" applyBorder="1"/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wrapText="1"/>
    </xf>
    <xf numFmtId="0" fontId="0" fillId="0" borderId="20" xfId="0" applyBorder="1"/>
    <xf numFmtId="0" fontId="12" fillId="0" borderId="0" xfId="0" applyFont="1" applyFill="1" applyBorder="1" applyAlignment="1">
      <alignment horizontal="left" vertical="top"/>
    </xf>
    <xf numFmtId="168" fontId="12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vertical="top"/>
    </xf>
    <xf numFmtId="169" fontId="8" fillId="0" borderId="3" xfId="1" applyNumberFormat="1" applyFont="1" applyFill="1" applyBorder="1" applyAlignment="1">
      <alignment horizontal="left" vertical="top"/>
    </xf>
    <xf numFmtId="2" fontId="8" fillId="0" borderId="3" xfId="0" applyNumberFormat="1" applyFont="1" applyFill="1" applyBorder="1" applyAlignment="1">
      <alignment horizontal="center" vertical="top"/>
    </xf>
    <xf numFmtId="0" fontId="12" fillId="0" borderId="3" xfId="0" applyFont="1" applyFill="1" applyBorder="1" applyAlignment="1">
      <alignment wrapText="1"/>
    </xf>
    <xf numFmtId="0" fontId="8" fillId="0" borderId="3" xfId="0" applyFont="1" applyFill="1" applyBorder="1"/>
    <xf numFmtId="0" fontId="12" fillId="0" borderId="3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Fill="1" applyBorder="1"/>
    <xf numFmtId="170" fontId="8" fillId="0" borderId="3" xfId="0" applyNumberFormat="1" applyFont="1" applyFill="1" applyBorder="1" applyAlignment="1">
      <alignment vertical="top"/>
    </xf>
    <xf numFmtId="0" fontId="1" fillId="0" borderId="9" xfId="0" applyFont="1" applyBorder="1"/>
    <xf numFmtId="0" fontId="8" fillId="0" borderId="9" xfId="0" applyFont="1" applyFill="1" applyBorder="1" applyAlignment="1">
      <alignment vertical="top"/>
    </xf>
    <xf numFmtId="0" fontId="6" fillId="0" borderId="9" xfId="0" applyFont="1" applyFill="1" applyBorder="1" applyAlignment="1">
      <alignment horizontal="left" vertical="top"/>
    </xf>
    <xf numFmtId="0" fontId="0" fillId="0" borderId="9" xfId="0" applyFont="1" applyBorder="1"/>
    <xf numFmtId="165" fontId="0" fillId="0" borderId="0" xfId="0" applyNumberFormat="1" applyBorder="1"/>
    <xf numFmtId="166" fontId="0" fillId="0" borderId="0" xfId="0" applyNumberFormat="1" applyBorder="1"/>
    <xf numFmtId="165" fontId="0" fillId="0" borderId="3" xfId="0" applyNumberFormat="1" applyFont="1" applyBorder="1"/>
    <xf numFmtId="165" fontId="6" fillId="0" borderId="3" xfId="0" applyNumberFormat="1" applyFont="1" applyBorder="1"/>
    <xf numFmtId="165" fontId="0" fillId="0" borderId="3" xfId="0" applyNumberFormat="1" applyBorder="1"/>
    <xf numFmtId="0" fontId="5" fillId="0" borderId="0" xfId="0" applyFont="1" applyFill="1" applyBorder="1" applyAlignment="1">
      <alignment horizontal="left" vertical="top" wrapText="1"/>
    </xf>
    <xf numFmtId="9" fontId="0" fillId="0" borderId="0" xfId="0" applyNumberFormat="1"/>
    <xf numFmtId="0" fontId="2" fillId="0" borderId="3" xfId="0" applyFont="1" applyBorder="1" applyAlignment="1">
      <alignment wrapText="1"/>
    </xf>
    <xf numFmtId="0" fontId="13" fillId="0" borderId="16" xfId="0" applyFont="1" applyBorder="1"/>
    <xf numFmtId="0" fontId="13" fillId="0" borderId="16" xfId="0" applyFont="1" applyFill="1" applyBorder="1"/>
    <xf numFmtId="0" fontId="13" fillId="0" borderId="0" xfId="0" applyFont="1"/>
    <xf numFmtId="0" fontId="13" fillId="0" borderId="16" xfId="2" applyFont="1" applyFill="1" applyBorder="1" applyAlignment="1">
      <alignment wrapText="1"/>
    </xf>
    <xf numFmtId="2" fontId="14" fillId="0" borderId="16" xfId="2" applyNumberFormat="1" applyFont="1" applyBorder="1" applyProtection="1"/>
    <xf numFmtId="9" fontId="13" fillId="0" borderId="16" xfId="0" applyNumberFormat="1" applyFont="1" applyBorder="1"/>
    <xf numFmtId="165" fontId="13" fillId="0" borderId="0" xfId="0" applyNumberFormat="1" applyFont="1"/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3" fillId="0" borderId="16" xfId="0" applyFont="1" applyBorder="1" applyAlignment="1">
      <alignment wrapText="1"/>
    </xf>
    <xf numFmtId="2" fontId="14" fillId="0" borderId="16" xfId="2" applyNumberFormat="1" applyFont="1" applyBorder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3" xfId="0" applyBorder="1" applyAlignment="1">
      <alignment wrapText="1"/>
    </xf>
    <xf numFmtId="9" fontId="14" fillId="0" borderId="16" xfId="2" applyNumberFormat="1" applyFont="1" applyBorder="1" applyAlignment="1">
      <alignment wrapText="1"/>
    </xf>
    <xf numFmtId="171" fontId="14" fillId="0" borderId="16" xfId="2" applyNumberFormat="1" applyFont="1" applyBorder="1" applyAlignment="1">
      <alignment wrapText="1"/>
    </xf>
    <xf numFmtId="172" fontId="14" fillId="0" borderId="16" xfId="2" applyNumberFormat="1" applyFont="1" applyBorder="1" applyAlignment="1">
      <alignment wrapText="1"/>
    </xf>
    <xf numFmtId="0" fontId="14" fillId="0" borderId="16" xfId="2" applyFont="1" applyBorder="1" applyAlignment="1">
      <alignment wrapText="1"/>
    </xf>
    <xf numFmtId="0" fontId="13" fillId="0" borderId="0" xfId="0" applyFont="1" applyFill="1" applyBorder="1"/>
    <xf numFmtId="4" fontId="13" fillId="0" borderId="0" xfId="0" applyNumberFormat="1" applyFont="1"/>
    <xf numFmtId="173" fontId="0" fillId="0" borderId="3" xfId="0" applyNumberFormat="1" applyBorder="1"/>
    <xf numFmtId="173" fontId="0" fillId="0" borderId="0" xfId="0" applyNumberFormat="1"/>
    <xf numFmtId="173" fontId="0" fillId="0" borderId="21" xfId="0" applyNumberFormat="1" applyFill="1" applyBorder="1"/>
    <xf numFmtId="171" fontId="0" fillId="0" borderId="3" xfId="0" applyNumberFormat="1" applyFont="1" applyBorder="1"/>
    <xf numFmtId="165" fontId="13" fillId="0" borderId="16" xfId="0" applyNumberFormat="1" applyFont="1" applyBorder="1"/>
    <xf numFmtId="165" fontId="14" fillId="0" borderId="16" xfId="2" applyNumberFormat="1" applyFont="1" applyBorder="1" applyAlignment="1">
      <alignment wrapText="1"/>
    </xf>
    <xf numFmtId="165" fontId="9" fillId="0" borderId="7" xfId="0" applyNumberFormat="1" applyFont="1" applyBorder="1" applyAlignment="1">
      <alignment vertical="top" wrapText="1"/>
    </xf>
    <xf numFmtId="165" fontId="5" fillId="0" borderId="7" xfId="0" applyNumberFormat="1" applyFont="1" applyBorder="1" applyAlignment="1">
      <alignment vertical="top" wrapText="1"/>
    </xf>
    <xf numFmtId="0" fontId="14" fillId="0" borderId="16" xfId="3" quotePrefix="1" applyNumberFormat="1" applyFont="1" applyBorder="1"/>
    <xf numFmtId="165" fontId="2" fillId="0" borderId="3" xfId="0" applyNumberFormat="1" applyFont="1" applyBorder="1"/>
    <xf numFmtId="165" fontId="1" fillId="0" borderId="0" xfId="0" applyNumberFormat="1" applyFont="1"/>
    <xf numFmtId="165" fontId="5" fillId="0" borderId="0" xfId="0" applyNumberFormat="1" applyFont="1" applyBorder="1" applyAlignment="1">
      <alignment vertical="top" wrapText="1"/>
    </xf>
    <xf numFmtId="165" fontId="8" fillId="0" borderId="0" xfId="0" applyNumberFormat="1" applyFont="1" applyFill="1" applyBorder="1" applyAlignment="1">
      <alignment horizontal="left" vertical="top"/>
    </xf>
    <xf numFmtId="165" fontId="8" fillId="0" borderId="3" xfId="0" applyNumberFormat="1" applyFont="1" applyBorder="1"/>
    <xf numFmtId="165" fontId="8" fillId="0" borderId="0" xfId="0" applyNumberFormat="1" applyFont="1" applyFill="1" applyAlignment="1">
      <alignment vertical="top"/>
    </xf>
    <xf numFmtId="165" fontId="8" fillId="0" borderId="3" xfId="0" applyNumberFormat="1" applyFont="1" applyFill="1" applyBorder="1" applyAlignment="1">
      <alignment horizontal="center" vertical="top" wrapText="1"/>
    </xf>
    <xf numFmtId="165" fontId="8" fillId="0" borderId="3" xfId="0" applyNumberFormat="1" applyFont="1" applyFill="1" applyBorder="1" applyAlignment="1">
      <alignment vertical="top"/>
    </xf>
    <xf numFmtId="165" fontId="12" fillId="0" borderId="0" xfId="0" applyNumberFormat="1" applyFont="1" applyFill="1" applyBorder="1" applyAlignment="1">
      <alignment horizontal="left" vertical="top"/>
    </xf>
    <xf numFmtId="165" fontId="8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Alignment="1">
      <alignment vertical="top" wrapText="1"/>
    </xf>
    <xf numFmtId="167" fontId="15" fillId="0" borderId="0" xfId="0" applyNumberFormat="1" applyFont="1" applyBorder="1" applyAlignment="1">
      <alignment horizontal="left"/>
    </xf>
    <xf numFmtId="0" fontId="16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3" fontId="17" fillId="0" borderId="7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7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0" xfId="0" applyNumberFormat="1"/>
    <xf numFmtId="0" fontId="17" fillId="0" borderId="2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6" fontId="0" fillId="0" borderId="0" xfId="0" applyNumberFormat="1"/>
    <xf numFmtId="8" fontId="0" fillId="0" borderId="0" xfId="0" applyNumberFormat="1"/>
    <xf numFmtId="6" fontId="0" fillId="0" borderId="1" xfId="0" applyNumberFormat="1" applyBorder="1"/>
    <xf numFmtId="173" fontId="8" fillId="0" borderId="3" xfId="0" applyNumberFormat="1" applyFont="1" applyFill="1" applyBorder="1" applyAlignment="1">
      <alignment vertical="top"/>
    </xf>
    <xf numFmtId="173" fontId="0" fillId="0" borderId="2" xfId="0" applyNumberFormat="1" applyBorder="1"/>
    <xf numFmtId="9" fontId="8" fillId="0" borderId="3" xfId="0" applyNumberFormat="1" applyFont="1" applyFill="1" applyBorder="1" applyAlignment="1">
      <alignment vertical="top"/>
    </xf>
    <xf numFmtId="0" fontId="18" fillId="0" borderId="16" xfId="3" quotePrefix="1" applyNumberFormat="1" applyFont="1" applyBorder="1"/>
    <xf numFmtId="0" fontId="14" fillId="0" borderId="0" xfId="3" quotePrefix="1" applyNumberFormat="1"/>
    <xf numFmtId="0" fontId="18" fillId="0" borderId="16" xfId="3" applyNumberFormat="1" applyFont="1" applyBorder="1"/>
    <xf numFmtId="0" fontId="19" fillId="0" borderId="16" xfId="0" applyFont="1" applyBorder="1"/>
    <xf numFmtId="0" fontId="8" fillId="0" borderId="0" xfId="0" applyFont="1" applyFill="1" applyBorder="1" applyAlignment="1">
      <alignment horizontal="left" vertical="top" wrapText="1"/>
    </xf>
    <xf numFmtId="174" fontId="0" fillId="0" borderId="0" xfId="0" applyNumberFormat="1"/>
    <xf numFmtId="165" fontId="1" fillId="0" borderId="4" xfId="0" applyNumberFormat="1" applyFont="1" applyFill="1" applyBorder="1" applyAlignment="1">
      <alignment wrapText="1"/>
    </xf>
    <xf numFmtId="165" fontId="1" fillId="0" borderId="4" xfId="0" applyNumberFormat="1" applyFont="1" applyBorder="1"/>
    <xf numFmtId="174" fontId="1" fillId="0" borderId="16" xfId="0" applyNumberFormat="1" applyFont="1" applyBorder="1"/>
    <xf numFmtId="174" fontId="1" fillId="0" borderId="0" xfId="0" applyNumberFormat="1" applyFont="1"/>
    <xf numFmtId="0" fontId="4" fillId="0" borderId="4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65" fontId="4" fillId="0" borderId="4" xfId="0" applyNumberFormat="1" applyFont="1" applyBorder="1"/>
    <xf numFmtId="165" fontId="8" fillId="0" borderId="4" xfId="0" applyNumberFormat="1" applyFont="1" applyBorder="1" applyAlignment="1">
      <alignment horizontal="left" vertical="top" wrapText="1"/>
    </xf>
    <xf numFmtId="165" fontId="7" fillId="0" borderId="4" xfId="0" applyNumberFormat="1" applyFont="1" applyFill="1" applyBorder="1" applyAlignment="1">
      <alignment horizontal="left" vertical="top" wrapText="1"/>
    </xf>
    <xf numFmtId="165" fontId="8" fillId="0" borderId="4" xfId="0" applyNumberFormat="1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left" vertical="top" wrapText="1"/>
    </xf>
    <xf numFmtId="1" fontId="1" fillId="0" borderId="0" xfId="0" applyNumberFormat="1" applyFont="1"/>
    <xf numFmtId="1" fontId="1" fillId="0" borderId="4" xfId="0" applyNumberFormat="1" applyFont="1" applyBorder="1"/>
    <xf numFmtId="1" fontId="4" fillId="0" borderId="4" xfId="0" applyNumberFormat="1" applyFont="1" applyBorder="1"/>
    <xf numFmtId="1" fontId="8" fillId="0" borderId="4" xfId="0" applyNumberFormat="1" applyFont="1" applyBorder="1" applyAlignment="1">
      <alignment horizontal="left" vertical="top" wrapText="1"/>
    </xf>
    <xf numFmtId="1" fontId="7" fillId="0" borderId="4" xfId="0" applyNumberFormat="1" applyFont="1" applyFill="1" applyBorder="1" applyAlignment="1">
      <alignment horizontal="left" vertical="top" wrapText="1"/>
    </xf>
    <xf numFmtId="1" fontId="8" fillId="0" borderId="4" xfId="0" applyNumberFormat="1" applyFont="1" applyFill="1" applyBorder="1" applyAlignment="1">
      <alignment horizontal="left" vertical="top" wrapText="1"/>
    </xf>
    <xf numFmtId="1" fontId="0" fillId="0" borderId="0" xfId="0" applyNumberFormat="1"/>
    <xf numFmtId="1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12" fillId="0" borderId="0" xfId="0" applyNumberFormat="1" applyFont="1" applyFill="1" applyBorder="1" applyAlignment="1">
      <alignment horizontal="left" vertical="top" wrapText="1"/>
    </xf>
    <xf numFmtId="165" fontId="12" fillId="0" borderId="0" xfId="0" applyNumberFormat="1" applyFont="1" applyFill="1" applyAlignment="1">
      <alignment horizontal="left" vertical="top" wrapText="1"/>
    </xf>
  </cellXfs>
  <cellStyles count="4">
    <cellStyle name="Comma" xfId="1" builtinId="3"/>
    <cellStyle name="Normal" xfId="0" builtinId="0"/>
    <cellStyle name="Normal_Sheet1" xfId="3"/>
    <cellStyle name="Normal_Sheet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theme/theme1.xml" Type="http://schemas.openxmlformats.org/officeDocument/2006/relationships/theme"/>
<Relationship Id="rId14" Target="styles.xml" Type="http://schemas.openxmlformats.org/officeDocument/2006/relationships/styles"/>
<Relationship Id="rId15" Target="sharedStrings.xml" Type="http://schemas.openxmlformats.org/officeDocument/2006/relationships/sharedStrings"/>
<Relationship Id="rId16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HBCT Cost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Summary!$L$8</c:f>
              <c:strCache>
                <c:ptCount val="1"/>
                <c:pt idx="0">
                  <c:v>Cost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Summary!$K$9:$K$16</c:f>
              <c:strCache>
                <c:ptCount val="8"/>
                <c:pt idx="0">
                  <c:v>Start up costs</c:v>
                </c:pt>
                <c:pt idx="1">
                  <c:v>Personnel (N)</c:v>
                </c:pt>
                <c:pt idx="2">
                  <c:v>Transport</c:v>
                </c:pt>
                <c:pt idx="3">
                  <c:v>Supplies for testing</c:v>
                </c:pt>
                <c:pt idx="4">
                  <c:v>Electronic data capture</c:v>
                </c:pt>
                <c:pt idx="5">
                  <c:v>Additional ART &amp; care</c:v>
                </c:pt>
                <c:pt idx="7">
                  <c:v>Office and misc items</c:v>
                </c:pt>
              </c:strCache>
            </c:strRef>
          </c:cat>
          <c:val>
            <c:numRef>
              <c:f>Summary!$L$9:$L$16</c:f>
              <c:numCache>
                <c:formatCode>"$"#,##0.00</c:formatCode>
                <c:ptCount val="8"/>
                <c:pt idx="0">
                  <c:v>68778.03581434882</c:v>
                </c:pt>
                <c:pt idx="1">
                  <c:v>171494.6520998532</c:v>
                </c:pt>
                <c:pt idx="2">
                  <c:v>28876.96475770925</c:v>
                </c:pt>
                <c:pt idx="3">
                  <c:v>19172.89207112582</c:v>
                </c:pt>
                <c:pt idx="4">
                  <c:v>8356.325515962841</c:v>
                </c:pt>
                <c:pt idx="5">
                  <c:v>47122.56</c:v>
                </c:pt>
                <c:pt idx="7">
                  <c:v>5109.31864904552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2586271543643"/>
          <c:y val="0.161242221047457"/>
          <c:w val="0.300993367208409"/>
          <c:h val="0.517268300826354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'Summary-CHW'!$K$9:$K$15</c:f>
              <c:strCache>
                <c:ptCount val="7"/>
                <c:pt idx="0">
                  <c:v>Start up costs</c:v>
                </c:pt>
                <c:pt idx="1">
                  <c:v>Personnel (N)</c:v>
                </c:pt>
                <c:pt idx="2">
                  <c:v>Transport</c:v>
                </c:pt>
                <c:pt idx="3">
                  <c:v>Supplies for testing</c:v>
                </c:pt>
                <c:pt idx="4">
                  <c:v>Electronic data capture</c:v>
                </c:pt>
                <c:pt idx="5">
                  <c:v>ART costs</c:v>
                </c:pt>
                <c:pt idx="6">
                  <c:v>Office and misc items</c:v>
                </c:pt>
              </c:strCache>
            </c:strRef>
          </c:cat>
          <c:val>
            <c:numRef>
              <c:f>'Summary-CHW'!$L$9:$L$15</c:f>
              <c:numCache>
                <c:formatCode>"$"#,##0.00</c:formatCode>
                <c:ptCount val="7"/>
                <c:pt idx="0">
                  <c:v>67309.60703314471</c:v>
                </c:pt>
                <c:pt idx="1">
                  <c:v>123659.3303964758</c:v>
                </c:pt>
                <c:pt idx="2">
                  <c:v>28876.96475770925</c:v>
                </c:pt>
                <c:pt idx="3">
                  <c:v>19172.89207112582</c:v>
                </c:pt>
                <c:pt idx="4">
                  <c:v>8356.325515962841</c:v>
                </c:pt>
                <c:pt idx="5">
                  <c:v>47122.56</c:v>
                </c:pt>
                <c:pt idx="6">
                  <c:v>5109.31864904552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17</xdr:row>
      <xdr:rowOff>9525</xdr:rowOff>
    </xdr:from>
    <xdr:to>
      <xdr:col>20</xdr:col>
      <xdr:colOff>66675</xdr:colOff>
      <xdr:row>42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18</xdr:row>
      <xdr:rowOff>176212</xdr:rowOff>
    </xdr:from>
    <xdr:to>
      <xdr:col>16</xdr:col>
      <xdr:colOff>276225</xdr:colOff>
      <xdr:row>33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_rels/sheet9.xml.rels><?xml version="1.0" encoding="UTF-8" standalone="no"?>
<Relationships xmlns="http://schemas.openxmlformats.org/package/2006/relationships">
<Relationship Id="rId1" Target="../printerSettings/printerSettings8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B33" sqref="B33"/>
    </sheetView>
  </sheetViews>
  <sheetFormatPr baseColWidth="10" defaultColWidth="8.83203125" defaultRowHeight="15" x14ac:dyDescent="0.2"/>
  <cols>
    <col min="1" max="1" width="10.1640625" customWidth="1"/>
    <col min="2" max="2" width="60.5" customWidth="1"/>
    <col min="3" max="3" width="17.1640625" style="9" customWidth="1"/>
    <col min="4" max="4" width="12.83203125" style="197" customWidth="1"/>
    <col min="5" max="5" width="8.1640625" customWidth="1"/>
    <col min="6" max="6" width="17.5" style="9" customWidth="1"/>
    <col min="7" max="7" width="11.1640625" bestFit="1" customWidth="1"/>
    <col min="8" max="8" width="16.33203125" customWidth="1"/>
    <col min="9" max="9" width="15.1640625" customWidth="1"/>
    <col min="11" max="11" width="21.83203125" customWidth="1"/>
    <col min="12" max="12" width="11.1640625" bestFit="1" customWidth="1"/>
  </cols>
  <sheetData>
    <row r="1" spans="1:12" x14ac:dyDescent="0.2">
      <c r="A1" s="1" t="s">
        <v>230</v>
      </c>
      <c r="B1" s="1" t="s">
        <v>0</v>
      </c>
      <c r="C1" s="143"/>
      <c r="D1" s="191"/>
      <c r="E1" s="1"/>
      <c r="F1" s="143"/>
      <c r="G1" s="1"/>
      <c r="H1" s="1"/>
      <c r="I1" s="1"/>
    </row>
    <row r="2" spans="1:12" x14ac:dyDescent="0.2">
      <c r="A2" s="1"/>
      <c r="B2" s="1"/>
      <c r="C2" s="143"/>
      <c r="D2" s="191"/>
      <c r="E2" s="1"/>
      <c r="F2" s="143"/>
      <c r="G2" s="1"/>
      <c r="H2" s="1"/>
      <c r="I2" s="1"/>
    </row>
    <row r="3" spans="1:12" x14ac:dyDescent="0.2">
      <c r="A3" s="1"/>
      <c r="B3" s="1" t="s">
        <v>14</v>
      </c>
      <c r="C3" s="143"/>
      <c r="D3" s="191"/>
      <c r="E3" s="1"/>
      <c r="F3" s="9">
        <v>5</v>
      </c>
      <c r="G3" s="1"/>
      <c r="H3" s="1" t="s">
        <v>448</v>
      </c>
      <c r="I3" s="1">
        <f>Testing!H14</f>
        <v>1616</v>
      </c>
    </row>
    <row r="4" spans="1:12" x14ac:dyDescent="0.2">
      <c r="A4" s="1"/>
      <c r="B4" s="1" t="s">
        <v>13</v>
      </c>
      <c r="C4" s="143"/>
      <c r="D4" s="191"/>
      <c r="E4" s="1"/>
      <c r="F4" s="9">
        <v>0.03</v>
      </c>
      <c r="G4" s="1"/>
      <c r="H4" s="1"/>
      <c r="I4" s="1">
        <f>I3*2</f>
        <v>3232</v>
      </c>
    </row>
    <row r="5" spans="1:12" x14ac:dyDescent="0.2">
      <c r="A5" s="1"/>
      <c r="B5" s="1" t="s">
        <v>12</v>
      </c>
      <c r="C5" s="143"/>
      <c r="D5" s="191"/>
      <c r="E5" s="1"/>
      <c r="F5" s="9">
        <v>4.58</v>
      </c>
      <c r="G5" s="1"/>
      <c r="H5" s="1"/>
      <c r="I5" s="1"/>
    </row>
    <row r="6" spans="1:12" x14ac:dyDescent="0.2">
      <c r="A6" s="1"/>
      <c r="B6" s="1" t="s">
        <v>18</v>
      </c>
      <c r="C6" s="143"/>
      <c r="D6" s="191"/>
      <c r="E6" s="1"/>
      <c r="F6" s="9">
        <v>6.81</v>
      </c>
      <c r="G6" s="1"/>
      <c r="H6" s="1"/>
      <c r="I6" s="1"/>
    </row>
    <row r="7" spans="1:12" ht="16" thickBot="1" x14ac:dyDescent="0.25">
      <c r="A7" s="1"/>
      <c r="B7" s="1"/>
      <c r="C7" s="143"/>
      <c r="D7" s="191"/>
      <c r="E7" s="1"/>
      <c r="G7" s="1"/>
      <c r="H7" s="1"/>
      <c r="I7" s="1"/>
    </row>
    <row r="8" spans="1:12" ht="31" thickBot="1" x14ac:dyDescent="0.25">
      <c r="A8" s="33" t="s">
        <v>135</v>
      </c>
      <c r="B8" s="30" t="s">
        <v>183</v>
      </c>
      <c r="C8" s="177" t="s">
        <v>11</v>
      </c>
      <c r="D8" s="192" t="s">
        <v>457</v>
      </c>
      <c r="E8" s="185" t="s">
        <v>460</v>
      </c>
      <c r="F8" s="176" t="s">
        <v>9</v>
      </c>
      <c r="G8" s="178" t="s">
        <v>446</v>
      </c>
      <c r="H8" s="179" t="s">
        <v>452</v>
      </c>
      <c r="I8" s="1"/>
      <c r="K8" t="s">
        <v>183</v>
      </c>
      <c r="L8" s="175" t="s">
        <v>9</v>
      </c>
    </row>
    <row r="9" spans="1:12" ht="16" thickBot="1" x14ac:dyDescent="0.25">
      <c r="A9" s="33"/>
      <c r="B9" s="30" t="s">
        <v>184</v>
      </c>
      <c r="C9" s="186"/>
      <c r="D9" s="193"/>
      <c r="E9" s="180"/>
      <c r="F9" s="176"/>
      <c r="G9" s="178"/>
      <c r="H9" s="179"/>
      <c r="I9" s="1"/>
      <c r="K9" t="str">
        <f>B9</f>
        <v>Start up costs</v>
      </c>
      <c r="L9" s="175">
        <f>H18</f>
        <v>68778.035814348827</v>
      </c>
    </row>
    <row r="10" spans="1:12" ht="16" thickBot="1" x14ac:dyDescent="0.25">
      <c r="A10" s="33">
        <v>1</v>
      </c>
      <c r="B10" s="30" t="s">
        <v>181</v>
      </c>
      <c r="C10" s="177" t="s">
        <v>463</v>
      </c>
      <c r="D10" s="192">
        <v>1</v>
      </c>
      <c r="E10" s="181" t="s">
        <v>464</v>
      </c>
      <c r="F10" s="176">
        <v>0</v>
      </c>
      <c r="G10" s="178">
        <f>F10/$F$6</f>
        <v>0</v>
      </c>
      <c r="H10" s="179"/>
      <c r="I10" s="1"/>
      <c r="K10" t="str">
        <f>B19</f>
        <v>Personnel (N)</v>
      </c>
      <c r="L10" s="175">
        <f>H26</f>
        <v>171494.65209985324</v>
      </c>
    </row>
    <row r="11" spans="1:12" ht="16" thickBot="1" x14ac:dyDescent="0.25">
      <c r="A11" s="33">
        <f>A10+1</f>
        <v>2</v>
      </c>
      <c r="B11" s="33" t="s">
        <v>469</v>
      </c>
      <c r="C11" s="177">
        <v>54101.38</v>
      </c>
      <c r="D11" s="192">
        <v>1</v>
      </c>
      <c r="E11" s="181" t="s">
        <v>461</v>
      </c>
      <c r="F11" s="176">
        <f>'Start-up costs'!J5</f>
        <v>54101.376692307684</v>
      </c>
      <c r="G11" s="178">
        <f t="shared" ref="G11:G49" si="0">F11/$F$6</f>
        <v>7944.4018637749905</v>
      </c>
      <c r="H11" s="179"/>
      <c r="I11" s="140"/>
      <c r="K11" t="str">
        <f>B27</f>
        <v>Transport</v>
      </c>
      <c r="L11" s="175">
        <f>H30</f>
        <v>28876.964757709255</v>
      </c>
    </row>
    <row r="12" spans="1:12" ht="16" thickBot="1" x14ac:dyDescent="0.25">
      <c r="A12" s="33">
        <f>A11+1</f>
        <v>3</v>
      </c>
      <c r="B12" s="33" t="s">
        <v>468</v>
      </c>
      <c r="C12" s="177">
        <f>F12</f>
        <v>134132.75596538463</v>
      </c>
      <c r="D12" s="192">
        <v>1</v>
      </c>
      <c r="E12" s="181" t="s">
        <v>462</v>
      </c>
      <c r="F12" s="176">
        <f>'Start-up costs'!J11+'Start-up costs'!J12</f>
        <v>134132.75596538463</v>
      </c>
      <c r="G12" s="178">
        <f t="shared" si="0"/>
        <v>19696.439936179828</v>
      </c>
      <c r="H12" s="179"/>
      <c r="I12" s="140"/>
      <c r="K12" t="str">
        <f>B31</f>
        <v>Supplies for testing</v>
      </c>
      <c r="L12" s="175">
        <f>H37</f>
        <v>19172.892071125818</v>
      </c>
    </row>
    <row r="13" spans="1:12" ht="16" thickBot="1" x14ac:dyDescent="0.25">
      <c r="A13" s="33">
        <f>A12+1</f>
        <v>4</v>
      </c>
      <c r="B13" s="33" t="s">
        <v>467</v>
      </c>
      <c r="C13" s="177">
        <f>F13</f>
        <v>63769.348898846147</v>
      </c>
      <c r="D13" s="192">
        <v>1</v>
      </c>
      <c r="E13" s="181" t="s">
        <v>462</v>
      </c>
      <c r="F13" s="176">
        <f>'Start-up costs'!J15</f>
        <v>63769.348898846147</v>
      </c>
      <c r="G13" s="178">
        <f t="shared" si="0"/>
        <v>9364.0747281712411</v>
      </c>
      <c r="H13" s="179"/>
      <c r="I13" s="144"/>
      <c r="K13" t="str">
        <f>B38</f>
        <v>Electronic data capture</v>
      </c>
      <c r="L13" s="175">
        <f>H43</f>
        <v>8356.3255159628407</v>
      </c>
    </row>
    <row r="14" spans="1:12" ht="16" thickBot="1" x14ac:dyDescent="0.25">
      <c r="A14" s="33">
        <f t="shared" ref="A14" si="1">A13+1</f>
        <v>5</v>
      </c>
      <c r="B14" s="33" t="s">
        <v>466</v>
      </c>
      <c r="C14" s="177">
        <f>F14</f>
        <v>127538.69779769229</v>
      </c>
      <c r="D14" s="192">
        <v>1</v>
      </c>
      <c r="E14" s="181" t="s">
        <v>462</v>
      </c>
      <c r="F14" s="176">
        <f>'Start-up costs'!J16</f>
        <v>127538.69779769229</v>
      </c>
      <c r="G14" s="178">
        <f>F14/$F$6</f>
        <v>18728.149456342482</v>
      </c>
      <c r="H14" s="179"/>
      <c r="I14" s="144"/>
      <c r="K14" t="str">
        <f>B44</f>
        <v>Additional ART &amp; care</v>
      </c>
      <c r="L14" s="175">
        <f>H46</f>
        <v>47122.560000000005</v>
      </c>
    </row>
    <row r="15" spans="1:12" ht="16" thickBot="1" x14ac:dyDescent="0.25">
      <c r="A15" s="33"/>
      <c r="B15" s="33" t="s">
        <v>465</v>
      </c>
      <c r="C15" s="177">
        <v>3500</v>
      </c>
      <c r="D15" s="192">
        <v>9</v>
      </c>
      <c r="E15" s="181" t="s">
        <v>464</v>
      </c>
      <c r="F15" s="176">
        <f>C15*D15</f>
        <v>31500</v>
      </c>
      <c r="G15" s="178">
        <f>F15/$F$6</f>
        <v>4625.5506607929519</v>
      </c>
      <c r="H15" s="179"/>
      <c r="I15" s="144"/>
      <c r="L15" s="175"/>
    </row>
    <row r="16" spans="1:12" ht="16" thickBot="1" x14ac:dyDescent="0.25">
      <c r="A16" s="33">
        <f>A14+1</f>
        <v>6</v>
      </c>
      <c r="B16" s="33" t="s">
        <v>349</v>
      </c>
      <c r="C16" s="177">
        <v>2000</v>
      </c>
      <c r="D16" s="192">
        <v>10</v>
      </c>
      <c r="E16" s="181" t="s">
        <v>464</v>
      </c>
      <c r="F16" s="176">
        <f>C16*D16</f>
        <v>20000</v>
      </c>
      <c r="G16" s="178">
        <f t="shared" si="0"/>
        <v>2936.8575624082232</v>
      </c>
      <c r="H16" s="179"/>
      <c r="I16" s="1"/>
      <c r="K16" t="str">
        <f>B47</f>
        <v>Office and misc items</v>
      </c>
      <c r="L16" s="175">
        <f>H50</f>
        <v>5109.3186490455209</v>
      </c>
    </row>
    <row r="17" spans="1:9" ht="16" thickBot="1" x14ac:dyDescent="0.25">
      <c r="A17" s="33">
        <f>A16+1</f>
        <v>7</v>
      </c>
      <c r="B17" s="33" t="s">
        <v>354</v>
      </c>
      <c r="C17" s="177">
        <f>Summary!F17</f>
        <v>37336.244541484717</v>
      </c>
      <c r="D17" s="192">
        <v>1</v>
      </c>
      <c r="E17" s="181" t="s">
        <v>464</v>
      </c>
      <c r="F17" s="176">
        <f>'Data capture'!C18</f>
        <v>37336.244541484717</v>
      </c>
      <c r="G17" s="178">
        <f t="shared" si="0"/>
        <v>5482.5616066791072</v>
      </c>
      <c r="H17" s="179"/>
      <c r="I17" s="1"/>
    </row>
    <row r="18" spans="1:9" ht="16" thickBot="1" x14ac:dyDescent="0.25">
      <c r="A18" s="33"/>
      <c r="B18" s="30"/>
      <c r="C18" s="186"/>
      <c r="D18" s="193"/>
      <c r="E18" s="180"/>
      <c r="F18" s="176" t="s">
        <v>10</v>
      </c>
      <c r="G18" s="178"/>
      <c r="H18" s="179">
        <f>SUM(G10:G17)</f>
        <v>68778.035814348827</v>
      </c>
      <c r="I18" s="1"/>
    </row>
    <row r="19" spans="1:9" ht="16" thickBot="1" x14ac:dyDescent="0.25">
      <c r="A19" s="33"/>
      <c r="B19" s="30" t="s">
        <v>353</v>
      </c>
      <c r="C19" s="186"/>
      <c r="D19" s="193"/>
      <c r="E19" s="180"/>
      <c r="F19" s="176"/>
      <c r="G19" s="178"/>
      <c r="H19" s="179"/>
      <c r="I19" s="1"/>
    </row>
    <row r="20" spans="1:9" ht="16" thickBot="1" x14ac:dyDescent="0.25">
      <c r="A20" s="33">
        <f>A17+1</f>
        <v>8</v>
      </c>
      <c r="B20" s="32" t="s">
        <v>351</v>
      </c>
      <c r="C20" s="187">
        <f>F20/D20</f>
        <v>104267.80000000019</v>
      </c>
      <c r="D20" s="194">
        <v>2</v>
      </c>
      <c r="E20" s="182" t="s">
        <v>462</v>
      </c>
      <c r="F20" s="177">
        <f>Personnel!M44</f>
        <v>208535.60000000038</v>
      </c>
      <c r="G20" s="178">
        <f t="shared" si="0"/>
        <v>30621.967694566873</v>
      </c>
      <c r="H20" s="179"/>
      <c r="I20" s="1"/>
    </row>
    <row r="21" spans="1:9" ht="16" thickBot="1" x14ac:dyDescent="0.25">
      <c r="A21" s="33">
        <f>A20+1</f>
        <v>9</v>
      </c>
      <c r="B21" s="32" t="s">
        <v>352</v>
      </c>
      <c r="C21" s="187">
        <f>F21</f>
        <v>206000.03999999998</v>
      </c>
      <c r="D21" s="194">
        <v>1</v>
      </c>
      <c r="E21" s="182" t="s">
        <v>462</v>
      </c>
      <c r="F21" s="177">
        <f>Personnel!M45</f>
        <v>206000.03999999998</v>
      </c>
      <c r="G21" s="178">
        <f t="shared" si="0"/>
        <v>30249.638766519824</v>
      </c>
      <c r="H21" s="179"/>
      <c r="I21" s="1"/>
    </row>
    <row r="22" spans="1:9" ht="16" thickBot="1" x14ac:dyDescent="0.25">
      <c r="A22" s="33">
        <f t="shared" ref="A22:A25" si="2">A21+1</f>
        <v>10</v>
      </c>
      <c r="B22" s="32" t="s">
        <v>359</v>
      </c>
      <c r="C22" s="187">
        <f>F22/3</f>
        <v>109480</v>
      </c>
      <c r="D22" s="194">
        <v>3</v>
      </c>
      <c r="E22" s="182" t="s">
        <v>462</v>
      </c>
      <c r="F22" s="177">
        <f>Personnel!M46</f>
        <v>328440</v>
      </c>
      <c r="G22" s="178">
        <f t="shared" si="0"/>
        <v>48229.074889867843</v>
      </c>
      <c r="H22" s="179"/>
      <c r="I22" s="1"/>
    </row>
    <row r="23" spans="1:9" ht="16" thickBot="1" x14ac:dyDescent="0.25">
      <c r="A23" s="33">
        <f t="shared" si="2"/>
        <v>11</v>
      </c>
      <c r="B23" s="32" t="s">
        <v>470</v>
      </c>
      <c r="C23" s="187">
        <f>F23</f>
        <v>117222.94080000001</v>
      </c>
      <c r="D23" s="194">
        <v>1</v>
      </c>
      <c r="E23" s="182" t="s">
        <v>462</v>
      </c>
      <c r="F23" s="177">
        <f>Personnel!M47</f>
        <v>117222.94080000001</v>
      </c>
      <c r="G23" s="178">
        <f t="shared" si="0"/>
        <v>17213.354008810576</v>
      </c>
      <c r="H23" s="179"/>
      <c r="I23" s="1"/>
    </row>
    <row r="24" spans="1:9" ht="16" thickBot="1" x14ac:dyDescent="0.25">
      <c r="A24" s="33">
        <f t="shared" si="2"/>
        <v>12</v>
      </c>
      <c r="B24" s="32" t="s">
        <v>357</v>
      </c>
      <c r="C24" s="187">
        <f>F24/3</f>
        <v>62560</v>
      </c>
      <c r="D24" s="194">
        <v>3</v>
      </c>
      <c r="E24" s="182" t="s">
        <v>462</v>
      </c>
      <c r="F24" s="177">
        <f>Personnel!M48</f>
        <v>187680</v>
      </c>
      <c r="G24" s="178">
        <f t="shared" si="0"/>
        <v>27559.471365638768</v>
      </c>
      <c r="H24" s="179"/>
      <c r="I24" s="1"/>
    </row>
    <row r="25" spans="1:9" ht="16" thickBot="1" x14ac:dyDescent="0.25">
      <c r="A25" s="33">
        <f t="shared" si="2"/>
        <v>13</v>
      </c>
      <c r="B25" s="32" t="s">
        <v>358</v>
      </c>
      <c r="C25" s="187">
        <f>F25/5</f>
        <v>24000</v>
      </c>
      <c r="D25" s="194">
        <v>5</v>
      </c>
      <c r="E25" s="182" t="s">
        <v>462</v>
      </c>
      <c r="F25" s="177">
        <f>Personnel!M49</f>
        <v>120000</v>
      </c>
      <c r="G25" s="178">
        <f t="shared" si="0"/>
        <v>17621.145374449341</v>
      </c>
      <c r="H25" s="179"/>
      <c r="I25" s="1"/>
    </row>
    <row r="26" spans="1:9" ht="16" thickBot="1" x14ac:dyDescent="0.25">
      <c r="A26" s="33"/>
      <c r="B26" s="32"/>
      <c r="C26" s="187"/>
      <c r="D26" s="194"/>
      <c r="E26" s="182"/>
      <c r="F26" s="177"/>
      <c r="G26" s="178"/>
      <c r="H26" s="179">
        <f>SUM(G20:G25)</f>
        <v>171494.65209985324</v>
      </c>
      <c r="I26" s="1"/>
    </row>
    <row r="27" spans="1:9" ht="16" thickBot="1" x14ac:dyDescent="0.25">
      <c r="A27" s="33"/>
      <c r="B27" s="34" t="s">
        <v>191</v>
      </c>
      <c r="C27" s="188"/>
      <c r="D27" s="195"/>
      <c r="E27" s="183"/>
      <c r="F27" s="177"/>
      <c r="G27" s="178"/>
      <c r="H27" s="179"/>
      <c r="I27" s="1"/>
    </row>
    <row r="28" spans="1:9" ht="16" thickBot="1" x14ac:dyDescent="0.25">
      <c r="A28" s="33">
        <f>A25+1</f>
        <v>14</v>
      </c>
      <c r="B28" s="35" t="s">
        <v>227</v>
      </c>
      <c r="C28" s="189">
        <f>Transport!J10</f>
        <v>27600.71</v>
      </c>
      <c r="D28" s="196">
        <v>3</v>
      </c>
      <c r="E28" s="184" t="s">
        <v>464</v>
      </c>
      <c r="F28" s="177">
        <f>Transport!J16</f>
        <v>82802.13</v>
      </c>
      <c r="G28" s="178">
        <f t="shared" si="0"/>
        <v>12158.903083700441</v>
      </c>
      <c r="H28" s="179"/>
      <c r="I28" s="1"/>
    </row>
    <row r="29" spans="1:9" ht="18" customHeight="1" thickBot="1" x14ac:dyDescent="0.25">
      <c r="A29" s="33">
        <f>A28+1</f>
        <v>15</v>
      </c>
      <c r="B29" s="35" t="s">
        <v>360</v>
      </c>
      <c r="C29" s="189">
        <f>Transport!I20</f>
        <v>37950</v>
      </c>
      <c r="D29" s="196">
        <v>3</v>
      </c>
      <c r="E29" s="184" t="s">
        <v>464</v>
      </c>
      <c r="F29" s="177">
        <f>Transport!I25</f>
        <v>113850</v>
      </c>
      <c r="G29" s="178">
        <f t="shared" si="0"/>
        <v>16718.061674008812</v>
      </c>
      <c r="H29" s="179"/>
      <c r="I29" s="1"/>
    </row>
    <row r="30" spans="1:9" ht="16" thickBot="1" x14ac:dyDescent="0.25">
      <c r="A30" s="33"/>
      <c r="B30" s="33"/>
      <c r="C30" s="177"/>
      <c r="D30" s="192"/>
      <c r="E30" s="181"/>
      <c r="F30" s="177"/>
      <c r="G30" s="178"/>
      <c r="H30" s="179">
        <f>SUM(G28:G29)</f>
        <v>28876.964757709255</v>
      </c>
      <c r="I30" s="1"/>
    </row>
    <row r="31" spans="1:9" ht="16" thickBot="1" x14ac:dyDescent="0.25">
      <c r="A31" s="33"/>
      <c r="B31" s="34" t="s">
        <v>193</v>
      </c>
      <c r="C31" s="188"/>
      <c r="D31" s="195"/>
      <c r="E31" s="183"/>
      <c r="F31" s="177"/>
      <c r="G31" s="178"/>
      <c r="H31" s="179"/>
      <c r="I31" s="1"/>
    </row>
    <row r="32" spans="1:9" ht="16" thickBot="1" x14ac:dyDescent="0.25">
      <c r="A32" s="33">
        <f>A29+1</f>
        <v>16</v>
      </c>
      <c r="B32" s="35" t="s">
        <v>172</v>
      </c>
      <c r="C32" s="189">
        <f>Testing!D10</f>
        <v>42.55</v>
      </c>
      <c r="D32" s="196">
        <f>Testing!H14</f>
        <v>1616</v>
      </c>
      <c r="E32" s="184"/>
      <c r="F32" s="177">
        <f>Testing!I10</f>
        <v>68760.799999999988</v>
      </c>
      <c r="G32" s="178">
        <f t="shared" si="0"/>
        <v>10097.033773861967</v>
      </c>
      <c r="H32" s="179"/>
      <c r="I32" s="1"/>
    </row>
    <row r="33" spans="1:9" ht="18" customHeight="1" thickBot="1" x14ac:dyDescent="0.25">
      <c r="A33" s="33">
        <f>A32+1</f>
        <v>17</v>
      </c>
      <c r="B33" s="35" t="s">
        <v>471</v>
      </c>
      <c r="C33" s="189">
        <f>Testing!D11</f>
        <v>87.93</v>
      </c>
      <c r="D33" s="196">
        <f>Testing!H15</f>
        <v>484.79999999999995</v>
      </c>
      <c r="E33" s="184"/>
      <c r="F33" s="177">
        <f>Testing!I11</f>
        <v>42628.464</v>
      </c>
      <c r="G33" s="178">
        <f t="shared" si="0"/>
        <v>6259.6863436123349</v>
      </c>
      <c r="H33" s="179"/>
      <c r="I33" s="1"/>
    </row>
    <row r="34" spans="1:9" ht="18" customHeight="1" thickBot="1" x14ac:dyDescent="0.25">
      <c r="A34" s="33">
        <f t="shared" ref="A34:A36" si="3">A33+1</f>
        <v>18</v>
      </c>
      <c r="B34" s="35" t="s">
        <v>376</v>
      </c>
      <c r="C34" s="189">
        <f>Testing!C61</f>
        <v>8951.9650655021833</v>
      </c>
      <c r="D34" s="196">
        <v>2</v>
      </c>
      <c r="E34" s="184"/>
      <c r="F34" s="177">
        <f>Testing!C61*2</f>
        <v>17903.930131004367</v>
      </c>
      <c r="G34" s="178">
        <f t="shared" si="0"/>
        <v>2629.0646301034312</v>
      </c>
      <c r="H34" s="179"/>
      <c r="I34" s="1"/>
    </row>
    <row r="35" spans="1:9" ht="18" customHeight="1" thickBot="1" x14ac:dyDescent="0.25">
      <c r="A35" s="33">
        <f t="shared" si="3"/>
        <v>19</v>
      </c>
      <c r="B35" s="35" t="s">
        <v>377</v>
      </c>
      <c r="C35" s="189">
        <f>Testing!C62</f>
        <v>363.10043668122267</v>
      </c>
      <c r="D35" s="196">
        <v>2</v>
      </c>
      <c r="E35" s="184"/>
      <c r="F35" s="177">
        <f>Testing!C62*2</f>
        <v>726.20087336244535</v>
      </c>
      <c r="G35" s="178">
        <f t="shared" si="0"/>
        <v>106.63742633809771</v>
      </c>
      <c r="H35" s="179"/>
      <c r="I35" s="1"/>
    </row>
    <row r="36" spans="1:9" ht="18" customHeight="1" thickBot="1" x14ac:dyDescent="0.25">
      <c r="A36" s="33">
        <f t="shared" si="3"/>
        <v>20</v>
      </c>
      <c r="B36" s="35" t="s">
        <v>375</v>
      </c>
      <c r="C36" s="189">
        <f>Testing!C64</f>
        <v>274</v>
      </c>
      <c r="D36" s="196">
        <v>2</v>
      </c>
      <c r="E36" s="184"/>
      <c r="F36" s="177">
        <f>Testing!C64*2</f>
        <v>548</v>
      </c>
      <c r="G36" s="178">
        <f t="shared" si="0"/>
        <v>80.469897209985319</v>
      </c>
      <c r="H36" s="179"/>
      <c r="I36" s="1"/>
    </row>
    <row r="37" spans="1:9" ht="18" customHeight="1" thickBot="1" x14ac:dyDescent="0.25">
      <c r="A37" s="33"/>
      <c r="G37" s="178"/>
      <c r="H37" s="179">
        <f>SUM(G32:G36)</f>
        <v>19172.892071125818</v>
      </c>
      <c r="I37" s="1"/>
    </row>
    <row r="38" spans="1:9" ht="18" customHeight="1" thickBot="1" x14ac:dyDescent="0.25">
      <c r="A38" s="33"/>
      <c r="B38" s="34" t="s">
        <v>101</v>
      </c>
      <c r="C38" s="188"/>
      <c r="D38" s="195"/>
      <c r="E38" s="183"/>
      <c r="F38" s="177"/>
      <c r="G38" s="178"/>
      <c r="H38" s="179"/>
      <c r="I38" s="1"/>
    </row>
    <row r="39" spans="1:9" ht="18" customHeight="1" thickBot="1" x14ac:dyDescent="0.25">
      <c r="A39" s="33">
        <f>A36+1</f>
        <v>21</v>
      </c>
      <c r="B39" s="35" t="s">
        <v>379</v>
      </c>
      <c r="C39" s="189"/>
      <c r="D39" s="196"/>
      <c r="E39" s="184"/>
      <c r="F39" s="177">
        <f>'Data capture'!C18</f>
        <v>37336.244541484717</v>
      </c>
      <c r="G39" s="178">
        <f t="shared" si="0"/>
        <v>5482.5616066791072</v>
      </c>
      <c r="H39" s="179"/>
      <c r="I39" s="1"/>
    </row>
    <row r="40" spans="1:9" ht="16" thickBot="1" x14ac:dyDescent="0.25">
      <c r="A40" s="33">
        <f>A39+1</f>
        <v>22</v>
      </c>
      <c r="B40" s="35" t="s">
        <v>380</v>
      </c>
      <c r="C40" s="189"/>
      <c r="D40" s="196"/>
      <c r="E40" s="184"/>
      <c r="F40" s="177">
        <f>'Data capture'!G3</f>
        <v>6775.9499999999989</v>
      </c>
      <c r="G40" s="178">
        <f t="shared" si="0"/>
        <v>994.99999999999989</v>
      </c>
      <c r="H40" s="179"/>
      <c r="I40" s="1"/>
    </row>
    <row r="41" spans="1:9" ht="16" thickBot="1" x14ac:dyDescent="0.25">
      <c r="A41" s="33">
        <f t="shared" ref="A41" si="4">A40+1</f>
        <v>23</v>
      </c>
      <c r="B41" s="35" t="s">
        <v>381</v>
      </c>
      <c r="C41" s="189"/>
      <c r="D41" s="196"/>
      <c r="E41" s="184"/>
      <c r="F41" s="177">
        <f>'Data capture'!G4</f>
        <v>6000</v>
      </c>
      <c r="G41" s="178">
        <f t="shared" si="0"/>
        <v>881.05726872246703</v>
      </c>
      <c r="H41" s="179"/>
      <c r="I41" s="1"/>
    </row>
    <row r="42" spans="1:9" ht="16" thickBot="1" x14ac:dyDescent="0.25">
      <c r="A42" s="33">
        <f>A41+1</f>
        <v>24</v>
      </c>
      <c r="B42" s="35" t="s">
        <v>392</v>
      </c>
      <c r="C42" s="189"/>
      <c r="D42" s="196"/>
      <c r="E42" s="184"/>
      <c r="F42" s="177">
        <f>'Data capture'!D46</f>
        <v>6794.3822222222225</v>
      </c>
      <c r="G42" s="178">
        <f t="shared" si="0"/>
        <v>997.70664056126623</v>
      </c>
      <c r="H42" s="179"/>
      <c r="I42" s="1"/>
    </row>
    <row r="43" spans="1:9" ht="16" thickBot="1" x14ac:dyDescent="0.25">
      <c r="A43" s="33"/>
      <c r="B43" s="35"/>
      <c r="C43" s="189"/>
      <c r="D43" s="196"/>
      <c r="E43" s="184"/>
      <c r="F43" s="177"/>
      <c r="G43" s="178"/>
      <c r="H43" s="179">
        <f>SUM(G39:G42)</f>
        <v>8356.3255159628407</v>
      </c>
      <c r="I43" s="1"/>
    </row>
    <row r="44" spans="1:9" ht="16" thickBot="1" x14ac:dyDescent="0.25">
      <c r="A44" s="33"/>
      <c r="B44" s="35" t="s">
        <v>453</v>
      </c>
      <c r="C44" s="189"/>
      <c r="D44" s="196"/>
      <c r="E44" s="184"/>
      <c r="F44" s="177"/>
      <c r="G44" s="178"/>
      <c r="H44" s="179"/>
      <c r="I44" s="1"/>
    </row>
    <row r="45" spans="1:9" ht="16" thickBot="1" x14ac:dyDescent="0.25">
      <c r="A45" s="33">
        <f>A42+1</f>
        <v>25</v>
      </c>
      <c r="B45" s="35" t="s">
        <v>220</v>
      </c>
      <c r="C45" s="189"/>
      <c r="D45" s="196"/>
      <c r="E45" s="184"/>
      <c r="F45" s="177">
        <f>Treatment!M8</f>
        <v>320904.6336</v>
      </c>
      <c r="G45" s="178">
        <f t="shared" si="0"/>
        <v>47122.560000000005</v>
      </c>
      <c r="H45" s="179"/>
      <c r="I45" s="1"/>
    </row>
    <row r="46" spans="1:9" ht="16" thickBot="1" x14ac:dyDescent="0.25">
      <c r="A46" s="33"/>
      <c r="B46" s="35"/>
      <c r="C46" s="189"/>
      <c r="D46" s="196"/>
      <c r="E46" s="184"/>
      <c r="F46" s="177"/>
      <c r="G46" s="178"/>
      <c r="H46" s="175">
        <f>SUM(G45)</f>
        <v>47122.560000000005</v>
      </c>
    </row>
    <row r="47" spans="1:9" ht="16" thickBot="1" x14ac:dyDescent="0.25">
      <c r="A47" s="33"/>
      <c r="B47" s="35" t="s">
        <v>226</v>
      </c>
      <c r="C47" s="189"/>
      <c r="D47" s="196"/>
      <c r="E47" s="184"/>
      <c r="F47" s="177"/>
      <c r="G47" s="178"/>
      <c r="H47" s="175"/>
    </row>
    <row r="48" spans="1:9" ht="16" thickBot="1" x14ac:dyDescent="0.25">
      <c r="A48" s="33">
        <f>A45+1</f>
        <v>26</v>
      </c>
      <c r="B48" s="35" t="s">
        <v>441</v>
      </c>
      <c r="C48" s="189"/>
      <c r="D48" s="196"/>
      <c r="E48" s="184"/>
      <c r="F48" s="177">
        <f>'Office &amp; Misc'!E47</f>
        <v>13794.460000000001</v>
      </c>
      <c r="G48" s="178">
        <f t="shared" si="0"/>
        <v>2025.6182085168871</v>
      </c>
      <c r="H48" s="179"/>
      <c r="I48" s="1"/>
    </row>
    <row r="49" spans="1:9" ht="16" thickBot="1" x14ac:dyDescent="0.25">
      <c r="A49" s="33">
        <f>A48+1</f>
        <v>27</v>
      </c>
      <c r="B49" s="35" t="s">
        <v>228</v>
      </c>
      <c r="C49" s="189"/>
      <c r="D49" s="196"/>
      <c r="E49" s="184"/>
      <c r="F49" s="177">
        <f>'Office &amp; Misc'!I54</f>
        <v>21000</v>
      </c>
      <c r="G49" s="178">
        <f t="shared" si="0"/>
        <v>3083.7004405286343</v>
      </c>
      <c r="H49" s="179"/>
      <c r="I49" s="1"/>
    </row>
    <row r="50" spans="1:9" x14ac:dyDescent="0.2">
      <c r="G50" t="s">
        <v>443</v>
      </c>
      <c r="H50" s="175">
        <f>SUM(G48:G49)</f>
        <v>5109.3186490455209</v>
      </c>
    </row>
    <row r="51" spans="1:9" x14ac:dyDescent="0.2">
      <c r="B51" s="174" t="s">
        <v>192</v>
      </c>
      <c r="C51" s="190"/>
      <c r="D51" s="198"/>
      <c r="E51" s="174"/>
      <c r="F51" s="9">
        <f>SUM(F10:F49)</f>
        <v>2376082.2000637893</v>
      </c>
      <c r="G51" s="175">
        <f t="shared" ref="G51:G58" si="5">F51/$F$6</f>
        <v>348910.74890804541</v>
      </c>
    </row>
    <row r="52" spans="1:9" x14ac:dyDescent="0.2">
      <c r="B52" s="174" t="s">
        <v>445</v>
      </c>
      <c r="C52" s="190"/>
      <c r="D52" s="198"/>
      <c r="E52" s="174"/>
      <c r="F52" s="9">
        <f>SUM(F10:F42,F48:F49)/Testing!H14</f>
        <v>1271.7682960790776</v>
      </c>
      <c r="G52" s="175">
        <f>F52/$F$6</f>
        <v>186.75011689854298</v>
      </c>
    </row>
    <row r="53" spans="1:9" x14ac:dyDescent="0.2">
      <c r="B53" s="174" t="s">
        <v>184</v>
      </c>
      <c r="C53" s="190"/>
      <c r="D53" s="198"/>
      <c r="E53" s="174"/>
      <c r="G53" s="175"/>
    </row>
    <row r="54" spans="1:9" x14ac:dyDescent="0.2">
      <c r="B54" s="174" t="s">
        <v>455</v>
      </c>
      <c r="C54" s="190"/>
      <c r="D54" s="198"/>
      <c r="E54" s="174"/>
      <c r="G54" s="175"/>
    </row>
    <row r="55" spans="1:9" x14ac:dyDescent="0.2">
      <c r="B55" s="174" t="s">
        <v>454</v>
      </c>
      <c r="C55" s="190"/>
      <c r="D55" s="198"/>
      <c r="E55" s="174"/>
      <c r="F55" s="9">
        <f>F51/Testing!H14</f>
        <v>1470.3478960790776</v>
      </c>
      <c r="G55" s="175">
        <f t="shared" si="5"/>
        <v>215.91011689854298</v>
      </c>
    </row>
    <row r="56" spans="1:9" x14ac:dyDescent="0.2">
      <c r="C56" s="190"/>
      <c r="D56" s="198"/>
      <c r="E56" s="174"/>
    </row>
    <row r="57" spans="1:9" x14ac:dyDescent="0.2">
      <c r="B57" s="174" t="s">
        <v>447</v>
      </c>
      <c r="C57" s="190"/>
      <c r="D57" s="198"/>
      <c r="E57" s="174"/>
      <c r="F57" s="9">
        <f>SUM(F10:F36,F48:F49)/Testing!H14</f>
        <v>1236.5538302599521</v>
      </c>
      <c r="G57" s="175">
        <f t="shared" si="5"/>
        <v>181.57912338618974</v>
      </c>
    </row>
    <row r="58" spans="1:9" x14ac:dyDescent="0.2">
      <c r="B58" s="174" t="s">
        <v>449</v>
      </c>
      <c r="F58" s="9">
        <f>(SUM(F20:F25,F28:F29,F32:F36,F48:F49))/I3</f>
        <v>946.71569666111827</v>
      </c>
      <c r="G58" s="175">
        <f t="shared" si="5"/>
        <v>139.01845765948875</v>
      </c>
    </row>
    <row r="59" spans="1:9" x14ac:dyDescent="0.2">
      <c r="B59" s="174"/>
      <c r="G59" s="175"/>
    </row>
    <row r="60" spans="1:9" x14ac:dyDescent="0.2">
      <c r="B60" s="174"/>
      <c r="G60" s="175"/>
    </row>
    <row r="61" spans="1:9" x14ac:dyDescent="0.2">
      <c r="G61" s="175"/>
    </row>
    <row r="62" spans="1:9" x14ac:dyDescent="0.2">
      <c r="G62" s="175"/>
    </row>
    <row r="63" spans="1:9" x14ac:dyDescent="0.2">
      <c r="G63" s="175"/>
    </row>
    <row r="64" spans="1:9" x14ac:dyDescent="0.2">
      <c r="G64" s="175"/>
    </row>
    <row r="65" spans="7:7" x14ac:dyDescent="0.2">
      <c r="G65" s="175"/>
    </row>
    <row r="66" spans="7:7" x14ac:dyDescent="0.2">
      <c r="G66" s="175"/>
    </row>
    <row r="67" spans="7:7" x14ac:dyDescent="0.2">
      <c r="G67" s="175"/>
    </row>
    <row r="68" spans="7:7" x14ac:dyDescent="0.2">
      <c r="G68" s="175"/>
    </row>
    <row r="69" spans="7:7" x14ac:dyDescent="0.2">
      <c r="G69" s="175"/>
    </row>
    <row r="70" spans="7:7" x14ac:dyDescent="0.2">
      <c r="G70" s="175"/>
    </row>
    <row r="71" spans="7:7" x14ac:dyDescent="0.2">
      <c r="G71" s="17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28" workbookViewId="0">
      <selection activeCell="E48" sqref="E48"/>
    </sheetView>
  </sheetViews>
  <sheetFormatPr baseColWidth="10" defaultColWidth="8.83203125" defaultRowHeight="15" x14ac:dyDescent="0.2"/>
  <cols>
    <col min="2" max="2" width="26.83203125" customWidth="1"/>
    <col min="5" max="5" width="15.5" customWidth="1"/>
    <col min="6" max="6" width="13.1640625" customWidth="1"/>
    <col min="8" max="8" width="15" customWidth="1"/>
  </cols>
  <sheetData>
    <row r="1" spans="1:6" x14ac:dyDescent="0.2">
      <c r="A1" t="s">
        <v>135</v>
      </c>
      <c r="B1" s="87" t="s">
        <v>221</v>
      </c>
      <c r="C1" s="87"/>
      <c r="D1" s="87"/>
      <c r="E1" s="87"/>
      <c r="F1" s="2"/>
    </row>
    <row r="2" spans="1:6" x14ac:dyDescent="0.2">
      <c r="B2" s="87"/>
      <c r="C2" s="87"/>
      <c r="D2" s="87"/>
      <c r="E2" s="87"/>
      <c r="F2" s="5"/>
    </row>
    <row r="3" spans="1:6" x14ac:dyDescent="0.2">
      <c r="B3" s="1" t="s">
        <v>14</v>
      </c>
      <c r="C3">
        <v>5</v>
      </c>
      <c r="D3" s="87"/>
      <c r="E3" s="87"/>
      <c r="F3" s="5"/>
    </row>
    <row r="4" spans="1:6" x14ac:dyDescent="0.2">
      <c r="B4" s="1" t="s">
        <v>13</v>
      </c>
      <c r="C4" s="7">
        <v>0.03</v>
      </c>
      <c r="D4" s="87"/>
      <c r="E4" s="87"/>
      <c r="F4" s="5"/>
    </row>
    <row r="5" spans="1:6" x14ac:dyDescent="0.2">
      <c r="B5" s="1" t="s">
        <v>12</v>
      </c>
      <c r="C5" s="8">
        <v>4.58</v>
      </c>
      <c r="D5" s="87"/>
      <c r="E5" s="87"/>
      <c r="F5" s="5"/>
    </row>
    <row r="6" spans="1:6" x14ac:dyDescent="0.2">
      <c r="B6" s="1" t="s">
        <v>18</v>
      </c>
      <c r="C6">
        <v>6.81</v>
      </c>
      <c r="D6" s="87"/>
      <c r="E6" s="87"/>
      <c r="F6" s="5"/>
    </row>
    <row r="7" spans="1:6" x14ac:dyDescent="0.2">
      <c r="B7" s="87"/>
      <c r="C7" s="87"/>
      <c r="D7" s="87"/>
      <c r="E7" s="87"/>
      <c r="F7" s="5"/>
    </row>
    <row r="8" spans="1:6" x14ac:dyDescent="0.2">
      <c r="B8" s="87"/>
      <c r="C8" s="87"/>
      <c r="D8" s="87"/>
      <c r="E8" s="87"/>
      <c r="F8" s="5"/>
    </row>
    <row r="9" spans="1:6" ht="16" thickBot="1" x14ac:dyDescent="0.25">
      <c r="B9" s="87"/>
      <c r="C9" s="87"/>
      <c r="D9" s="87"/>
      <c r="E9" s="87"/>
      <c r="F9" s="5"/>
    </row>
    <row r="10" spans="1:6" ht="31" thickBot="1" x14ac:dyDescent="0.25">
      <c r="B10" s="89" t="s">
        <v>183</v>
      </c>
      <c r="C10" s="90" t="s">
        <v>11</v>
      </c>
      <c r="D10" s="90" t="s">
        <v>210</v>
      </c>
      <c r="E10" s="90" t="s">
        <v>222</v>
      </c>
      <c r="F10" s="90" t="s">
        <v>233</v>
      </c>
    </row>
    <row r="11" spans="1:6" ht="16" thickBot="1" x14ac:dyDescent="0.25">
      <c r="B11" s="95" t="s">
        <v>223</v>
      </c>
      <c r="C11" s="91"/>
      <c r="D11" s="95"/>
      <c r="E11" s="91"/>
      <c r="F11" s="91"/>
    </row>
    <row r="12" spans="1:6" ht="16" thickBot="1" x14ac:dyDescent="0.25">
      <c r="A12">
        <v>1</v>
      </c>
      <c r="B12" s="95" t="s">
        <v>257</v>
      </c>
      <c r="C12" s="91"/>
      <c r="D12" s="95"/>
      <c r="E12" s="91"/>
      <c r="F12" s="91"/>
    </row>
    <row r="13" spans="1:6" ht="16" thickBot="1" x14ac:dyDescent="0.25">
      <c r="A13">
        <f>A12+1</f>
        <v>2</v>
      </c>
      <c r="B13" s="95" t="s">
        <v>258</v>
      </c>
      <c r="C13" s="91"/>
      <c r="D13" s="95"/>
      <c r="E13" s="91"/>
      <c r="F13" s="91"/>
    </row>
    <row r="14" spans="1:6" ht="16" thickBot="1" x14ac:dyDescent="0.25">
      <c r="A14">
        <f t="shared" ref="A14:A15" si="0">A13+1</f>
        <v>3</v>
      </c>
      <c r="B14" s="95" t="s">
        <v>224</v>
      </c>
      <c r="C14" s="91"/>
      <c r="D14" s="95"/>
      <c r="E14" s="91"/>
      <c r="F14" s="91"/>
    </row>
    <row r="15" spans="1:6" ht="16" thickBot="1" x14ac:dyDescent="0.25">
      <c r="A15">
        <f t="shared" si="0"/>
        <v>4</v>
      </c>
      <c r="B15" s="95" t="s">
        <v>259</v>
      </c>
      <c r="C15" s="91"/>
      <c r="D15" s="95"/>
      <c r="E15" s="91"/>
      <c r="F15" s="91"/>
    </row>
    <row r="16" spans="1:6" x14ac:dyDescent="0.2">
      <c r="B16" s="98" t="s">
        <v>260</v>
      </c>
      <c r="C16" s="87"/>
      <c r="D16" s="98"/>
      <c r="E16" s="87"/>
      <c r="F16" s="87"/>
    </row>
    <row r="17" spans="1:8" x14ac:dyDescent="0.2">
      <c r="B17" s="98" t="s">
        <v>262</v>
      </c>
      <c r="C17" s="87"/>
      <c r="D17" s="98"/>
      <c r="E17" s="87"/>
      <c r="F17" s="87"/>
    </row>
    <row r="18" spans="1:8" x14ac:dyDescent="0.2">
      <c r="B18" s="98" t="s">
        <v>263</v>
      </c>
      <c r="C18" s="87"/>
      <c r="D18" s="98"/>
      <c r="E18" s="87"/>
      <c r="F18" s="87"/>
    </row>
    <row r="19" spans="1:8" x14ac:dyDescent="0.2">
      <c r="B19" s="98"/>
      <c r="C19" s="87"/>
      <c r="D19" s="98"/>
      <c r="E19" s="87"/>
      <c r="F19" s="87"/>
    </row>
    <row r="20" spans="1:8" x14ac:dyDescent="0.2">
      <c r="B20" s="98"/>
      <c r="C20" s="87"/>
      <c r="D20" s="98"/>
      <c r="E20" s="87"/>
      <c r="F20" s="87"/>
    </row>
    <row r="21" spans="1:8" x14ac:dyDescent="0.2">
      <c r="B21" s="98"/>
      <c r="C21" s="87"/>
      <c r="D21" s="98"/>
      <c r="E21" s="87"/>
      <c r="F21" s="87"/>
    </row>
    <row r="24" spans="1:8" ht="16" thickBot="1" x14ac:dyDescent="0.25">
      <c r="B24" s="1" t="s">
        <v>225</v>
      </c>
    </row>
    <row r="25" spans="1:8" ht="16" thickBot="1" x14ac:dyDescent="0.25">
      <c r="A25" s="1">
        <f>A15+1</f>
        <v>5</v>
      </c>
      <c r="B25" s="33" t="s">
        <v>261</v>
      </c>
      <c r="C25" s="91"/>
      <c r="D25" s="95"/>
      <c r="E25" s="91"/>
      <c r="F25" s="91"/>
    </row>
    <row r="26" spans="1:8" ht="16" thickBot="1" x14ac:dyDescent="0.25">
      <c r="A26" s="1">
        <f>A25+1</f>
        <v>6</v>
      </c>
      <c r="B26" s="51" t="s">
        <v>93</v>
      </c>
      <c r="C26" s="91"/>
      <c r="D26" s="51"/>
      <c r="E26" s="91"/>
      <c r="F26" s="91"/>
    </row>
    <row r="27" spans="1:8" ht="31" thickBot="1" x14ac:dyDescent="0.25">
      <c r="B27" s="96" t="s">
        <v>267</v>
      </c>
      <c r="C27" s="91"/>
      <c r="D27" s="51"/>
      <c r="E27" s="91"/>
      <c r="F27" s="91"/>
    </row>
    <row r="28" spans="1:8" x14ac:dyDescent="0.2">
      <c r="B28" s="1" t="s">
        <v>217</v>
      </c>
      <c r="E28" s="2"/>
      <c r="F28" s="3">
        <f>SUM(F11:F27)</f>
        <v>0</v>
      </c>
    </row>
    <row r="30" spans="1:8" x14ac:dyDescent="0.2">
      <c r="A30" s="170" t="s">
        <v>399</v>
      </c>
      <c r="B30" s="170" t="s">
        <v>400</v>
      </c>
      <c r="C30" s="170" t="s">
        <v>401</v>
      </c>
      <c r="D30" s="170" t="s">
        <v>402</v>
      </c>
      <c r="E30" s="170" t="s">
        <v>403</v>
      </c>
      <c r="F30" s="170" t="s">
        <v>404</v>
      </c>
      <c r="G30" s="170" t="s">
        <v>405</v>
      </c>
      <c r="H30" s="170" t="s">
        <v>406</v>
      </c>
    </row>
    <row r="31" spans="1:8" x14ac:dyDescent="0.2">
      <c r="A31" s="141" t="s">
        <v>407</v>
      </c>
      <c r="B31" s="141">
        <v>1642.78</v>
      </c>
      <c r="C31" s="141" t="s">
        <v>408</v>
      </c>
      <c r="D31" s="141">
        <v>186.54</v>
      </c>
      <c r="E31" s="141">
        <v>2238.5100000000002</v>
      </c>
      <c r="F31" s="141">
        <v>7312.26</v>
      </c>
      <c r="G31" s="141" t="s">
        <v>408</v>
      </c>
      <c r="H31" s="141">
        <v>11193.55</v>
      </c>
    </row>
    <row r="32" spans="1:8" x14ac:dyDescent="0.2">
      <c r="A32" s="141" t="s">
        <v>409</v>
      </c>
      <c r="B32" s="141">
        <v>3977.21</v>
      </c>
      <c r="C32" s="141" t="s">
        <v>410</v>
      </c>
      <c r="D32" s="141">
        <v>58.82</v>
      </c>
      <c r="E32" s="141">
        <v>705.88</v>
      </c>
      <c r="F32" s="141">
        <v>1.91</v>
      </c>
      <c r="G32" s="141" t="s">
        <v>410</v>
      </c>
      <c r="H32" s="141">
        <v>4685</v>
      </c>
    </row>
    <row r="33" spans="1:9" x14ac:dyDescent="0.2">
      <c r="A33" s="141" t="s">
        <v>411</v>
      </c>
      <c r="B33" s="141">
        <v>1018.08</v>
      </c>
      <c r="C33" s="141" t="s">
        <v>410</v>
      </c>
      <c r="D33" s="141">
        <v>15.06</v>
      </c>
      <c r="E33" s="141">
        <v>180.69</v>
      </c>
      <c r="F33" s="141">
        <v>1.23</v>
      </c>
      <c r="G33" s="141" t="s">
        <v>410</v>
      </c>
      <c r="H33" s="141">
        <v>1200</v>
      </c>
    </row>
    <row r="34" spans="1:9" x14ac:dyDescent="0.2">
      <c r="A34" s="141" t="s">
        <v>412</v>
      </c>
      <c r="B34" s="141">
        <v>3782.29</v>
      </c>
      <c r="C34" s="141" t="s">
        <v>413</v>
      </c>
      <c r="D34" s="141">
        <v>52.36</v>
      </c>
      <c r="E34" s="141">
        <v>628.41</v>
      </c>
      <c r="F34" s="141">
        <v>3.3</v>
      </c>
      <c r="G34" s="141" t="s">
        <v>413</v>
      </c>
      <c r="H34" s="141">
        <v>4414</v>
      </c>
    </row>
    <row r="35" spans="1:9" x14ac:dyDescent="0.2">
      <c r="A35" s="141" t="s">
        <v>411</v>
      </c>
      <c r="B35" s="141">
        <v>1018.08</v>
      </c>
      <c r="C35" s="141" t="s">
        <v>410</v>
      </c>
      <c r="D35" s="141">
        <v>15.06</v>
      </c>
      <c r="E35" s="141">
        <v>180.69</v>
      </c>
      <c r="F35" s="141">
        <v>1.23</v>
      </c>
      <c r="G35" s="141" t="s">
        <v>410</v>
      </c>
      <c r="H35" s="141">
        <v>1200</v>
      </c>
    </row>
    <row r="36" spans="1:9" x14ac:dyDescent="0.2">
      <c r="A36" s="141" t="s">
        <v>414</v>
      </c>
      <c r="B36" s="141">
        <v>518.35</v>
      </c>
      <c r="C36" s="141" t="s">
        <v>408</v>
      </c>
      <c r="D36" s="141">
        <v>58.86</v>
      </c>
      <c r="E36" s="141">
        <v>706.33</v>
      </c>
      <c r="F36" s="141">
        <v>2307.96</v>
      </c>
      <c r="G36" s="141" t="s">
        <v>408</v>
      </c>
      <c r="H36" s="141">
        <v>3532.64</v>
      </c>
    </row>
    <row r="37" spans="1:9" x14ac:dyDescent="0.2">
      <c r="A37" s="141" t="s">
        <v>415</v>
      </c>
      <c r="B37" s="141">
        <v>241.9</v>
      </c>
      <c r="C37" s="141" t="s">
        <v>408</v>
      </c>
      <c r="D37" s="141">
        <v>27.47</v>
      </c>
      <c r="E37" s="141">
        <v>329.63</v>
      </c>
      <c r="F37" s="141">
        <v>1077.5899999999999</v>
      </c>
      <c r="G37" s="141" t="s">
        <v>408</v>
      </c>
      <c r="H37" s="141">
        <v>1649.12</v>
      </c>
    </row>
    <row r="38" spans="1:9" x14ac:dyDescent="0.2">
      <c r="A38" s="141" t="s">
        <v>414</v>
      </c>
      <c r="B38" s="141">
        <v>518.35</v>
      </c>
      <c r="C38" s="141" t="s">
        <v>408</v>
      </c>
      <c r="D38" s="141">
        <v>58.86</v>
      </c>
      <c r="E38" s="141">
        <v>706.33</v>
      </c>
      <c r="F38" s="141">
        <v>2307.96</v>
      </c>
      <c r="G38" s="141" t="s">
        <v>408</v>
      </c>
      <c r="H38" s="141">
        <v>3532.64</v>
      </c>
    </row>
    <row r="39" spans="1:9" x14ac:dyDescent="0.2">
      <c r="A39" s="141" t="s">
        <v>415</v>
      </c>
      <c r="B39" s="141">
        <v>241.9</v>
      </c>
      <c r="C39" s="141" t="s">
        <v>408</v>
      </c>
      <c r="D39" s="141">
        <v>27.47</v>
      </c>
      <c r="E39" s="141">
        <v>329.63</v>
      </c>
      <c r="F39" s="141">
        <v>1077.5899999999999</v>
      </c>
      <c r="G39" s="141" t="s">
        <v>408</v>
      </c>
      <c r="H39" s="141">
        <v>1649.12</v>
      </c>
    </row>
    <row r="40" spans="1:9" x14ac:dyDescent="0.2">
      <c r="A40" s="141" t="s">
        <v>416</v>
      </c>
      <c r="B40" s="141">
        <v>61.2</v>
      </c>
      <c r="C40" s="141" t="s">
        <v>417</v>
      </c>
      <c r="D40" s="141">
        <v>13.81</v>
      </c>
      <c r="E40" s="141">
        <v>165.65</v>
      </c>
      <c r="F40" s="141">
        <v>602.4</v>
      </c>
      <c r="G40" s="141" t="s">
        <v>417</v>
      </c>
      <c r="H40" s="141">
        <v>829.25</v>
      </c>
    </row>
    <row r="41" spans="1:9" x14ac:dyDescent="0.2">
      <c r="A41" s="141" t="s">
        <v>418</v>
      </c>
      <c r="B41" s="141">
        <v>61.2</v>
      </c>
      <c r="C41" s="141" t="s">
        <v>417</v>
      </c>
      <c r="D41" s="141">
        <v>13.81</v>
      </c>
      <c r="E41" s="141">
        <v>165.65</v>
      </c>
      <c r="F41" s="141">
        <v>602.4</v>
      </c>
      <c r="G41" s="141" t="s">
        <v>417</v>
      </c>
      <c r="H41" s="141">
        <v>829.25</v>
      </c>
    </row>
    <row r="42" spans="1:9" x14ac:dyDescent="0.2">
      <c r="A42" s="141" t="s">
        <v>419</v>
      </c>
      <c r="B42" s="141">
        <v>366.65</v>
      </c>
      <c r="C42" s="141" t="s">
        <v>420</v>
      </c>
      <c r="D42" s="141">
        <v>24.82</v>
      </c>
      <c r="E42" s="141">
        <v>297.8</v>
      </c>
      <c r="F42" s="141">
        <v>825.55</v>
      </c>
      <c r="G42" s="141" t="s">
        <v>420</v>
      </c>
      <c r="H42" s="141">
        <v>1490</v>
      </c>
    </row>
    <row r="43" spans="1:9" x14ac:dyDescent="0.2">
      <c r="A43" s="141" t="s">
        <v>421</v>
      </c>
      <c r="B43" s="141">
        <v>1666.93</v>
      </c>
      <c r="C43" s="141" t="s">
        <v>422</v>
      </c>
      <c r="D43" s="141">
        <v>84.3</v>
      </c>
      <c r="E43" s="141">
        <v>1011.58</v>
      </c>
      <c r="F43" s="141">
        <v>2380.39</v>
      </c>
      <c r="G43" s="141" t="s">
        <v>422</v>
      </c>
      <c r="H43" s="141">
        <v>5058.8999999999996</v>
      </c>
    </row>
    <row r="44" spans="1:9" x14ac:dyDescent="0.2">
      <c r="A44" s="141" t="s">
        <v>423</v>
      </c>
      <c r="B44" s="141">
        <v>1550.37</v>
      </c>
      <c r="C44" s="141" t="s">
        <v>424</v>
      </c>
      <c r="D44" s="141">
        <v>62.25</v>
      </c>
      <c r="E44" s="141">
        <v>747.07</v>
      </c>
      <c r="F44" s="141">
        <v>1438.91</v>
      </c>
      <c r="G44" s="141" t="s">
        <v>424</v>
      </c>
      <c r="H44" s="141">
        <v>3736.35</v>
      </c>
      <c r="I44" s="171"/>
    </row>
    <row r="45" spans="1:9" x14ac:dyDescent="0.2">
      <c r="A45" s="141"/>
      <c r="B45" s="141"/>
      <c r="C45" s="141"/>
      <c r="D45" s="141"/>
      <c r="E45" s="141"/>
      <c r="F45" s="141"/>
      <c r="G45" s="141"/>
      <c r="H45" s="141"/>
      <c r="I45" s="171"/>
    </row>
    <row r="46" spans="1:9" x14ac:dyDescent="0.2">
      <c r="A46" s="141" t="s">
        <v>440</v>
      </c>
      <c r="B46" s="141"/>
      <c r="C46" s="141"/>
      <c r="D46" s="141"/>
      <c r="E46" s="141">
        <f>SUM(E31:E43)+I64</f>
        <v>17006.78</v>
      </c>
      <c r="F46" s="141"/>
      <c r="G46" s="141"/>
      <c r="H46" s="141"/>
      <c r="I46" s="171"/>
    </row>
    <row r="47" spans="1:9" x14ac:dyDescent="0.2">
      <c r="A47" s="141" t="s">
        <v>451</v>
      </c>
      <c r="B47" s="141"/>
      <c r="C47" s="141"/>
      <c r="D47" s="141"/>
      <c r="E47" s="141">
        <f>SUM(E31:E33,E42,E43, I64)</f>
        <v>13794.460000000001</v>
      </c>
      <c r="F47" s="141"/>
      <c r="G47" s="141"/>
      <c r="H47" s="141"/>
      <c r="I47" s="171"/>
    </row>
    <row r="48" spans="1:9" x14ac:dyDescent="0.2">
      <c r="A48" s="112"/>
      <c r="B48" s="112"/>
      <c r="C48" s="112"/>
      <c r="D48" s="112"/>
      <c r="E48" s="112"/>
      <c r="F48" s="112"/>
      <c r="G48" s="112"/>
      <c r="H48" s="112"/>
    </row>
    <row r="49" spans="1:9" x14ac:dyDescent="0.2">
      <c r="A49" s="141" t="s">
        <v>342</v>
      </c>
      <c r="B49" s="141">
        <v>8680.8700000000008</v>
      </c>
      <c r="C49" s="141" t="s">
        <v>425</v>
      </c>
      <c r="D49" s="141">
        <v>2300.06</v>
      </c>
      <c r="E49" s="141">
        <v>27600.71</v>
      </c>
      <c r="F49" s="141">
        <v>233718.41</v>
      </c>
      <c r="G49" s="141" t="s">
        <v>425</v>
      </c>
      <c r="H49" s="141">
        <v>269999.99</v>
      </c>
    </row>
    <row r="50" spans="1:9" x14ac:dyDescent="0.2">
      <c r="A50" s="141" t="s">
        <v>361</v>
      </c>
      <c r="B50" s="141">
        <v>8680.8700000000008</v>
      </c>
      <c r="C50" s="141" t="s">
        <v>425</v>
      </c>
      <c r="D50" s="141">
        <v>2300.06</v>
      </c>
      <c r="E50" s="141">
        <v>27600.71</v>
      </c>
      <c r="F50" s="141">
        <v>233718.41</v>
      </c>
      <c r="G50" s="141" t="s">
        <v>425</v>
      </c>
      <c r="H50" s="141">
        <v>269999.99</v>
      </c>
    </row>
    <row r="51" spans="1:9" x14ac:dyDescent="0.2">
      <c r="A51" s="141" t="s">
        <v>362</v>
      </c>
      <c r="B51" s="141">
        <v>8680.8700000000008</v>
      </c>
      <c r="C51" s="141" t="s">
        <v>425</v>
      </c>
      <c r="D51" s="141">
        <v>2300.06</v>
      </c>
      <c r="E51" s="141">
        <v>27600.71</v>
      </c>
      <c r="F51" s="141">
        <v>233718.41</v>
      </c>
      <c r="G51" s="141" t="s">
        <v>425</v>
      </c>
      <c r="H51" s="141">
        <v>269999.99</v>
      </c>
    </row>
    <row r="52" spans="1:9" x14ac:dyDescent="0.2">
      <c r="A52" s="112"/>
      <c r="B52" s="112"/>
      <c r="C52" s="112"/>
      <c r="D52" s="112"/>
      <c r="E52" s="112"/>
      <c r="F52" s="112"/>
      <c r="G52" s="112"/>
      <c r="H52" s="112"/>
    </row>
    <row r="53" spans="1:9" x14ac:dyDescent="0.2">
      <c r="A53" s="172" t="s">
        <v>426</v>
      </c>
      <c r="B53" s="173"/>
      <c r="C53" s="173"/>
      <c r="D53" s="173"/>
      <c r="E53" s="173"/>
      <c r="F53" s="173"/>
      <c r="G53" s="173"/>
      <c r="H53" s="173" t="s">
        <v>427</v>
      </c>
      <c r="I53" s="1" t="s">
        <v>442</v>
      </c>
    </row>
    <row r="54" spans="1:9" x14ac:dyDescent="0.2">
      <c r="A54" s="112" t="s">
        <v>428</v>
      </c>
      <c r="B54" s="112"/>
      <c r="C54" s="112"/>
      <c r="D54" s="112"/>
      <c r="E54" s="112"/>
      <c r="F54" s="112"/>
      <c r="G54" s="112"/>
      <c r="H54" s="112">
        <v>1750</v>
      </c>
      <c r="I54">
        <f>H54*12</f>
        <v>21000</v>
      </c>
    </row>
    <row r="55" spans="1:9" x14ac:dyDescent="0.2">
      <c r="A55" s="112" t="s">
        <v>429</v>
      </c>
      <c r="B55" s="112"/>
      <c r="C55" s="112"/>
      <c r="D55" s="112"/>
      <c r="E55" s="112"/>
      <c r="F55" s="112"/>
      <c r="G55" s="112"/>
      <c r="H55" s="112">
        <v>500</v>
      </c>
      <c r="I55">
        <f>H55*12</f>
        <v>6000</v>
      </c>
    </row>
    <row r="56" spans="1:9" x14ac:dyDescent="0.2">
      <c r="A56" s="112"/>
      <c r="B56" s="112"/>
      <c r="C56" s="112"/>
      <c r="D56" s="112"/>
      <c r="E56" s="112"/>
      <c r="F56" s="112"/>
      <c r="G56" s="112"/>
      <c r="H56" s="112"/>
    </row>
    <row r="57" spans="1:9" x14ac:dyDescent="0.2">
      <c r="A57" s="173" t="s">
        <v>430</v>
      </c>
      <c r="B57" s="173"/>
      <c r="C57" s="173"/>
      <c r="D57" s="173"/>
      <c r="E57" s="173"/>
      <c r="F57" s="173"/>
      <c r="G57" s="173"/>
      <c r="H57" s="173" t="s">
        <v>431</v>
      </c>
    </row>
    <row r="58" spans="1:9" x14ac:dyDescent="0.2">
      <c r="A58" s="112" t="s">
        <v>432</v>
      </c>
      <c r="B58" s="112" t="s">
        <v>433</v>
      </c>
      <c r="C58" s="112"/>
      <c r="D58" s="112"/>
      <c r="E58" s="112"/>
      <c r="F58" s="112"/>
      <c r="G58" s="112"/>
      <c r="H58" s="112">
        <f>2255/100</f>
        <v>22.55</v>
      </c>
    </row>
    <row r="59" spans="1:9" x14ac:dyDescent="0.2">
      <c r="A59" s="112" t="s">
        <v>434</v>
      </c>
      <c r="B59" s="112" t="s">
        <v>435</v>
      </c>
      <c r="C59" s="112"/>
      <c r="D59" s="112"/>
      <c r="E59" s="112"/>
      <c r="F59" s="112"/>
      <c r="G59" s="112"/>
      <c r="H59" s="112">
        <f>276.25/25</f>
        <v>11.05</v>
      </c>
    </row>
    <row r="60" spans="1:9" x14ac:dyDescent="0.2">
      <c r="A60" s="112" t="s">
        <v>436</v>
      </c>
      <c r="B60" s="112"/>
      <c r="C60" s="112"/>
      <c r="D60" s="112"/>
      <c r="E60" s="112"/>
      <c r="F60" s="112"/>
      <c r="G60" s="112"/>
      <c r="H60" s="112">
        <v>20</v>
      </c>
    </row>
    <row r="61" spans="1:9" x14ac:dyDescent="0.2">
      <c r="A61" s="112" t="s">
        <v>437</v>
      </c>
      <c r="B61" s="112"/>
      <c r="C61" s="112"/>
      <c r="D61" s="112"/>
      <c r="E61" s="112"/>
      <c r="F61" s="112"/>
      <c r="G61" s="112"/>
      <c r="H61" s="112">
        <v>25</v>
      </c>
    </row>
    <row r="62" spans="1:9" x14ac:dyDescent="0.2">
      <c r="A62" s="112"/>
      <c r="B62" s="112"/>
      <c r="C62" s="112"/>
      <c r="D62" s="112"/>
      <c r="E62" s="112"/>
      <c r="F62" s="112"/>
      <c r="G62" s="112"/>
      <c r="H62" s="112"/>
    </row>
    <row r="63" spans="1:9" x14ac:dyDescent="0.2">
      <c r="A63" s="173" t="s">
        <v>438</v>
      </c>
      <c r="B63" s="173"/>
      <c r="C63" s="173"/>
      <c r="D63" s="173"/>
      <c r="E63" s="173"/>
      <c r="F63" s="173"/>
      <c r="G63" s="173"/>
      <c r="H63" s="173" t="s">
        <v>427</v>
      </c>
    </row>
    <row r="64" spans="1:9" x14ac:dyDescent="0.2">
      <c r="A64" s="112" t="s">
        <v>439</v>
      </c>
      <c r="B64" s="112"/>
      <c r="C64" s="112"/>
      <c r="D64" s="112"/>
      <c r="E64" s="112"/>
      <c r="F64" s="112"/>
      <c r="G64" s="112"/>
      <c r="H64" s="112">
        <v>780</v>
      </c>
      <c r="I64">
        <f t="shared" ref="I64" si="1">H64*12</f>
        <v>9360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44" sqref="P44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C1" sqref="C1:E1048576"/>
    </sheetView>
  </sheetViews>
  <sheetFormatPr baseColWidth="10" defaultColWidth="8.83203125" defaultRowHeight="15" x14ac:dyDescent="0.2"/>
  <cols>
    <col min="1" max="1" width="10.1640625" customWidth="1"/>
    <col min="2" max="2" width="60.5" customWidth="1"/>
    <col min="3" max="3" width="17.1640625" style="9" customWidth="1"/>
    <col min="4" max="4" width="12.83203125" customWidth="1"/>
    <col min="5" max="5" width="8.1640625" customWidth="1"/>
    <col min="6" max="6" width="17.5" style="9" customWidth="1"/>
    <col min="7" max="7" width="11.1640625" bestFit="1" customWidth="1"/>
    <col min="8" max="8" width="16.33203125" customWidth="1"/>
    <col min="9" max="9" width="15.1640625" customWidth="1"/>
    <col min="11" max="11" width="17" customWidth="1"/>
    <col min="12" max="12" width="11.1640625" bestFit="1" customWidth="1"/>
  </cols>
  <sheetData>
    <row r="1" spans="1:12" x14ac:dyDescent="0.2">
      <c r="A1" s="1" t="s">
        <v>230</v>
      </c>
      <c r="B1" s="1" t="s">
        <v>0</v>
      </c>
      <c r="C1" s="143"/>
      <c r="D1" s="1"/>
      <c r="E1" s="1"/>
      <c r="F1" s="143"/>
      <c r="G1" s="1"/>
      <c r="H1" s="1"/>
      <c r="I1" s="1"/>
    </row>
    <row r="2" spans="1:12" x14ac:dyDescent="0.2">
      <c r="A2" s="1"/>
      <c r="B2" s="1"/>
      <c r="C2" s="143"/>
      <c r="D2" s="1"/>
      <c r="E2" s="1"/>
      <c r="F2" s="143"/>
      <c r="G2" s="1"/>
      <c r="H2" s="1"/>
      <c r="I2" s="1"/>
    </row>
    <row r="3" spans="1:12" x14ac:dyDescent="0.2">
      <c r="A3" s="1"/>
      <c r="B3" s="1" t="s">
        <v>14</v>
      </c>
      <c r="C3" s="143"/>
      <c r="D3" s="1"/>
      <c r="E3" s="1"/>
      <c r="F3" s="9">
        <v>5</v>
      </c>
      <c r="G3" s="1"/>
      <c r="H3" s="1" t="s">
        <v>448</v>
      </c>
      <c r="I3" s="1">
        <f>Testing!H14</f>
        <v>1616</v>
      </c>
    </row>
    <row r="4" spans="1:12" x14ac:dyDescent="0.2">
      <c r="A4" s="1"/>
      <c r="B4" s="1" t="s">
        <v>13</v>
      </c>
      <c r="C4" s="143"/>
      <c r="D4" s="1"/>
      <c r="E4" s="1"/>
      <c r="F4" s="9">
        <v>0.03</v>
      </c>
      <c r="G4" s="1"/>
      <c r="H4" s="1"/>
      <c r="I4" s="1">
        <f>I3*2</f>
        <v>3232</v>
      </c>
    </row>
    <row r="5" spans="1:12" x14ac:dyDescent="0.2">
      <c r="A5" s="1"/>
      <c r="B5" s="1" t="s">
        <v>12</v>
      </c>
      <c r="C5" s="143"/>
      <c r="D5" s="1"/>
      <c r="E5" s="1"/>
      <c r="F5" s="9">
        <v>4.58</v>
      </c>
      <c r="G5" s="1"/>
      <c r="H5" s="1"/>
      <c r="I5" s="1"/>
    </row>
    <row r="6" spans="1:12" x14ac:dyDescent="0.2">
      <c r="A6" s="1"/>
      <c r="B6" s="1" t="s">
        <v>18</v>
      </c>
      <c r="C6" s="143"/>
      <c r="D6" s="1"/>
      <c r="E6" s="1"/>
      <c r="F6" s="9">
        <v>6.81</v>
      </c>
      <c r="G6" s="1"/>
      <c r="H6" s="1"/>
      <c r="I6" s="1"/>
    </row>
    <row r="7" spans="1:12" ht="9.75" customHeight="1" thickBot="1" x14ac:dyDescent="0.25">
      <c r="A7" s="1"/>
      <c r="B7" s="1"/>
      <c r="C7" s="143"/>
      <c r="D7" s="1"/>
      <c r="E7" s="1"/>
      <c r="G7" s="1"/>
      <c r="H7" s="1"/>
      <c r="I7" s="1"/>
    </row>
    <row r="8" spans="1:12" ht="32.25" customHeight="1" thickBot="1" x14ac:dyDescent="0.25">
      <c r="A8" s="33" t="s">
        <v>135</v>
      </c>
      <c r="B8" s="30" t="s">
        <v>183</v>
      </c>
      <c r="C8" s="177" t="s">
        <v>11</v>
      </c>
      <c r="D8" s="181" t="s">
        <v>457</v>
      </c>
      <c r="E8" s="185" t="s">
        <v>460</v>
      </c>
      <c r="F8" s="176" t="s">
        <v>458</v>
      </c>
      <c r="G8" s="178" t="s">
        <v>459</v>
      </c>
      <c r="H8" s="1" t="s">
        <v>452</v>
      </c>
      <c r="I8" s="1"/>
      <c r="K8" t="s">
        <v>183</v>
      </c>
      <c r="L8" t="s">
        <v>9</v>
      </c>
    </row>
    <row r="9" spans="1:12" ht="16" thickBot="1" x14ac:dyDescent="0.25">
      <c r="A9" s="33"/>
      <c r="B9" s="30" t="s">
        <v>184</v>
      </c>
      <c r="C9" s="186"/>
      <c r="D9" s="180"/>
      <c r="E9" s="180"/>
      <c r="F9" s="176"/>
      <c r="G9" s="178"/>
      <c r="H9" s="1"/>
      <c r="I9" s="1"/>
      <c r="K9" t="str">
        <f>B9</f>
        <v>Start up costs</v>
      </c>
      <c r="L9" s="175">
        <f>H17</f>
        <v>67309.607033144712</v>
      </c>
    </row>
    <row r="10" spans="1:12" ht="16" thickBot="1" x14ac:dyDescent="0.25">
      <c r="A10" s="33">
        <v>1</v>
      </c>
      <c r="B10" s="30" t="s">
        <v>181</v>
      </c>
      <c r="C10" s="177" t="s">
        <v>463</v>
      </c>
      <c r="D10" s="181">
        <v>1</v>
      </c>
      <c r="E10" s="181" t="s">
        <v>462</v>
      </c>
      <c r="F10" s="176">
        <v>0</v>
      </c>
      <c r="G10" s="178">
        <f>F10/$F$6</f>
        <v>0</v>
      </c>
      <c r="H10" s="1"/>
      <c r="I10" s="1"/>
      <c r="K10" t="str">
        <f>B18</f>
        <v>Personnel (N)</v>
      </c>
      <c r="L10" s="175">
        <f>H25</f>
        <v>123659.33039647579</v>
      </c>
    </row>
    <row r="11" spans="1:12" ht="16" thickBot="1" x14ac:dyDescent="0.25">
      <c r="A11" s="33">
        <f>A10+1</f>
        <v>2</v>
      </c>
      <c r="B11" s="33" t="s">
        <v>182</v>
      </c>
      <c r="C11" s="177">
        <v>54101.38</v>
      </c>
      <c r="D11" s="181">
        <v>1</v>
      </c>
      <c r="E11" s="181" t="s">
        <v>461</v>
      </c>
      <c r="F11" s="176">
        <f>'Start-up costs'!J5</f>
        <v>54101.376692307684</v>
      </c>
      <c r="G11" s="178">
        <f t="shared" ref="G11:G48" si="0">F11/$F$6</f>
        <v>7944.4018637749905</v>
      </c>
      <c r="H11" s="1"/>
      <c r="I11" s="140"/>
      <c r="K11" t="str">
        <f>B26</f>
        <v>Transport</v>
      </c>
      <c r="L11" s="175">
        <f>H29</f>
        <v>28876.964757709255</v>
      </c>
    </row>
    <row r="12" spans="1:12" ht="16" thickBot="1" x14ac:dyDescent="0.25">
      <c r="A12" s="33">
        <f>A11+1</f>
        <v>3</v>
      </c>
      <c r="B12" s="33" t="s">
        <v>185</v>
      </c>
      <c r="C12" s="177">
        <f>F12</f>
        <v>134132.75596538463</v>
      </c>
      <c r="D12" s="181">
        <v>1</v>
      </c>
      <c r="E12" s="181" t="s">
        <v>462</v>
      </c>
      <c r="F12" s="176">
        <f>'Start-up costs'!J11+'Start-up costs'!J12</f>
        <v>134132.75596538463</v>
      </c>
      <c r="G12" s="178">
        <f t="shared" si="0"/>
        <v>19696.439936179828</v>
      </c>
      <c r="H12" s="1"/>
      <c r="I12" s="140"/>
      <c r="K12" t="str">
        <f>B30</f>
        <v>Supplies for testing</v>
      </c>
      <c r="L12" s="175">
        <f>H36</f>
        <v>19172.892071125818</v>
      </c>
    </row>
    <row r="13" spans="1:12" ht="16" thickBot="1" x14ac:dyDescent="0.25">
      <c r="A13" s="33">
        <f>A12+1</f>
        <v>4</v>
      </c>
      <c r="B13" s="33" t="s">
        <v>347</v>
      </c>
      <c r="C13" s="177">
        <f>F13</f>
        <v>63769.348898846147</v>
      </c>
      <c r="D13" s="181">
        <v>1</v>
      </c>
      <c r="E13" s="181" t="s">
        <v>464</v>
      </c>
      <c r="F13" s="176">
        <f>'Start-up costs'!J15</f>
        <v>63769.348898846147</v>
      </c>
      <c r="G13" s="178">
        <f t="shared" si="0"/>
        <v>9364.0747281712411</v>
      </c>
      <c r="H13" s="1"/>
      <c r="I13" s="144"/>
      <c r="K13" t="str">
        <f>B37</f>
        <v>Electronic data capture</v>
      </c>
      <c r="L13" s="175">
        <f>H42</f>
        <v>8356.3255159628407</v>
      </c>
    </row>
    <row r="14" spans="1:12" ht="16" thickBot="1" x14ac:dyDescent="0.25">
      <c r="A14" s="33">
        <f t="shared" ref="A14" si="1">A13+1</f>
        <v>5</v>
      </c>
      <c r="B14" s="33" t="s">
        <v>350</v>
      </c>
      <c r="C14" s="177">
        <f>F14</f>
        <v>159038.69779769229</v>
      </c>
      <c r="D14" s="181">
        <v>1</v>
      </c>
      <c r="E14" s="181" t="s">
        <v>464</v>
      </c>
      <c r="F14" s="176">
        <f>'Start-up costs'!J16+'Start-up costs'!J18</f>
        <v>159038.69779769229</v>
      </c>
      <c r="G14" s="178">
        <f t="shared" si="0"/>
        <v>23353.700117135435</v>
      </c>
      <c r="H14" s="1"/>
      <c r="I14" s="144"/>
      <c r="K14" t="str">
        <f>B43</f>
        <v>ART costs</v>
      </c>
      <c r="L14" s="175">
        <f>H45</f>
        <v>47122.560000000005</v>
      </c>
    </row>
    <row r="15" spans="1:12" ht="16" thickBot="1" x14ac:dyDescent="0.25">
      <c r="A15" s="33">
        <f>A14+1</f>
        <v>6</v>
      </c>
      <c r="B15" s="33" t="s">
        <v>349</v>
      </c>
      <c r="C15" s="177"/>
      <c r="D15" s="181"/>
      <c r="E15" s="181"/>
      <c r="F15" s="176">
        <f>'Start-up costs'!J21</f>
        <v>10000</v>
      </c>
      <c r="G15" s="178">
        <f t="shared" si="0"/>
        <v>1468.4287812041116</v>
      </c>
      <c r="H15" s="1"/>
      <c r="I15" s="1"/>
      <c r="K15" t="str">
        <f>B46</f>
        <v>Office and misc items</v>
      </c>
      <c r="L15" s="175">
        <f>H49</f>
        <v>5109.3186490455209</v>
      </c>
    </row>
    <row r="16" spans="1:12" ht="16" thickBot="1" x14ac:dyDescent="0.25">
      <c r="A16" s="33">
        <f>A15+1</f>
        <v>7</v>
      </c>
      <c r="B16" s="33" t="s">
        <v>354</v>
      </c>
      <c r="C16" s="177"/>
      <c r="D16" s="181"/>
      <c r="E16" s="181"/>
      <c r="F16" s="176">
        <f>'Data capture'!C18</f>
        <v>37336.244541484717</v>
      </c>
      <c r="G16" s="178">
        <f t="shared" si="0"/>
        <v>5482.5616066791072</v>
      </c>
      <c r="H16" s="1"/>
      <c r="I16" s="1"/>
    </row>
    <row r="17" spans="1:9" ht="16" thickBot="1" x14ac:dyDescent="0.25">
      <c r="A17" s="33"/>
      <c r="B17" s="30"/>
      <c r="C17" s="186"/>
      <c r="D17" s="180"/>
      <c r="E17" s="180"/>
      <c r="F17" s="176" t="s">
        <v>10</v>
      </c>
      <c r="G17" s="178"/>
      <c r="H17" s="179">
        <f>SUM(G10:G16)</f>
        <v>67309.607033144712</v>
      </c>
      <c r="I17" s="1"/>
    </row>
    <row r="18" spans="1:9" ht="16" thickBot="1" x14ac:dyDescent="0.25">
      <c r="A18" s="33"/>
      <c r="B18" s="30" t="s">
        <v>353</v>
      </c>
      <c r="C18" s="186"/>
      <c r="D18" s="180"/>
      <c r="E18" s="180"/>
      <c r="F18" s="176"/>
      <c r="G18" s="178"/>
      <c r="H18" s="1"/>
      <c r="I18" s="1"/>
    </row>
    <row r="19" spans="1:9" ht="16" thickBot="1" x14ac:dyDescent="0.25">
      <c r="A19" s="33">
        <f>A16+1</f>
        <v>8</v>
      </c>
      <c r="B19" s="32" t="s">
        <v>351</v>
      </c>
      <c r="C19" s="187"/>
      <c r="D19" s="182"/>
      <c r="E19" s="182"/>
      <c r="F19" s="177"/>
      <c r="G19" s="178">
        <f t="shared" si="0"/>
        <v>0</v>
      </c>
      <c r="H19" s="1"/>
      <c r="I19" s="1"/>
    </row>
    <row r="20" spans="1:9" ht="16" thickBot="1" x14ac:dyDescent="0.25">
      <c r="A20" s="33">
        <f>A19+1</f>
        <v>9</v>
      </c>
      <c r="B20" s="32" t="s">
        <v>352</v>
      </c>
      <c r="C20" s="187"/>
      <c r="D20" s="182"/>
      <c r="E20" s="182"/>
      <c r="F20" s="177">
        <f>Personnel!M45</f>
        <v>206000.03999999998</v>
      </c>
      <c r="G20" s="178">
        <f t="shared" si="0"/>
        <v>30249.638766519824</v>
      </c>
      <c r="H20" s="1"/>
      <c r="I20" s="1"/>
    </row>
    <row r="21" spans="1:9" ht="16" thickBot="1" x14ac:dyDescent="0.25">
      <c r="A21" s="33">
        <f t="shared" ref="A21:A24" si="2">A20+1</f>
        <v>10</v>
      </c>
      <c r="B21" s="32" t="s">
        <v>359</v>
      </c>
      <c r="C21" s="187"/>
      <c r="D21" s="182"/>
      <c r="E21" s="182"/>
      <c r="F21" s="177">
        <f>Personnel!M46</f>
        <v>328440</v>
      </c>
      <c r="G21" s="178">
        <f t="shared" si="0"/>
        <v>48229.074889867843</v>
      </c>
      <c r="H21" s="1"/>
      <c r="I21" s="1"/>
    </row>
    <row r="22" spans="1:9" ht="16" thickBot="1" x14ac:dyDescent="0.25">
      <c r="A22" s="33">
        <f t="shared" si="2"/>
        <v>11</v>
      </c>
      <c r="B22" s="32" t="s">
        <v>356</v>
      </c>
      <c r="C22" s="187"/>
      <c r="D22" s="182"/>
      <c r="E22" s="182"/>
      <c r="F22" s="177"/>
      <c r="G22" s="178"/>
      <c r="H22" s="1"/>
      <c r="I22" s="1"/>
    </row>
    <row r="23" spans="1:9" ht="16" thickBot="1" x14ac:dyDescent="0.25">
      <c r="A23" s="33">
        <f t="shared" si="2"/>
        <v>12</v>
      </c>
      <c r="B23" s="32" t="s">
        <v>357</v>
      </c>
      <c r="C23" s="187"/>
      <c r="D23" s="182"/>
      <c r="E23" s="182"/>
      <c r="F23" s="177">
        <f>Personnel!M48</f>
        <v>187680</v>
      </c>
      <c r="G23" s="178">
        <f t="shared" si="0"/>
        <v>27559.471365638768</v>
      </c>
      <c r="H23" s="1"/>
      <c r="I23" s="1"/>
    </row>
    <row r="24" spans="1:9" ht="16" thickBot="1" x14ac:dyDescent="0.25">
      <c r="A24" s="33">
        <f t="shared" si="2"/>
        <v>13</v>
      </c>
      <c r="B24" s="32" t="s">
        <v>450</v>
      </c>
      <c r="C24" s="187"/>
      <c r="D24" s="182"/>
      <c r="E24" s="182"/>
      <c r="F24" s="177">
        <f>Personnel!M49</f>
        <v>120000</v>
      </c>
      <c r="G24" s="178">
        <f t="shared" si="0"/>
        <v>17621.145374449341</v>
      </c>
      <c r="H24" s="1"/>
      <c r="I24" s="1"/>
    </row>
    <row r="25" spans="1:9" ht="16" thickBot="1" x14ac:dyDescent="0.25">
      <c r="A25" s="33"/>
      <c r="B25" s="32"/>
      <c r="C25" s="187"/>
      <c r="D25" s="182"/>
      <c r="E25" s="182"/>
      <c r="F25" s="177"/>
      <c r="G25" s="178"/>
      <c r="H25" s="179">
        <f>SUM(G19:G24)</f>
        <v>123659.33039647579</v>
      </c>
      <c r="I25" s="1"/>
    </row>
    <row r="26" spans="1:9" ht="16" thickBot="1" x14ac:dyDescent="0.25">
      <c r="A26" s="33"/>
      <c r="B26" s="34" t="s">
        <v>191</v>
      </c>
      <c r="C26" s="188"/>
      <c r="D26" s="183"/>
      <c r="E26" s="183"/>
      <c r="F26" s="177"/>
      <c r="G26" s="178"/>
      <c r="H26" s="1"/>
      <c r="I26" s="1"/>
    </row>
    <row r="27" spans="1:9" ht="16" thickBot="1" x14ac:dyDescent="0.25">
      <c r="A27" s="33">
        <f>A24+1</f>
        <v>14</v>
      </c>
      <c r="B27" s="35" t="s">
        <v>227</v>
      </c>
      <c r="C27" s="189"/>
      <c r="D27" s="184"/>
      <c r="E27" s="184"/>
      <c r="F27" s="177">
        <f>Transport!J16</f>
        <v>82802.13</v>
      </c>
      <c r="G27" s="178">
        <f t="shared" si="0"/>
        <v>12158.903083700441</v>
      </c>
      <c r="H27" s="1"/>
      <c r="I27" s="1"/>
    </row>
    <row r="28" spans="1:9" ht="18" customHeight="1" thickBot="1" x14ac:dyDescent="0.25">
      <c r="A28" s="33">
        <f>A27+1</f>
        <v>15</v>
      </c>
      <c r="B28" s="35" t="s">
        <v>360</v>
      </c>
      <c r="C28" s="189"/>
      <c r="D28" s="184"/>
      <c r="E28" s="184"/>
      <c r="F28" s="177">
        <f>Transport!I25</f>
        <v>113850</v>
      </c>
      <c r="G28" s="178">
        <f t="shared" si="0"/>
        <v>16718.061674008812</v>
      </c>
      <c r="H28" s="1"/>
      <c r="I28" s="1"/>
    </row>
    <row r="29" spans="1:9" ht="16" thickBot="1" x14ac:dyDescent="0.25">
      <c r="A29" s="33"/>
      <c r="B29" s="33"/>
      <c r="C29" s="177"/>
      <c r="D29" s="181"/>
      <c r="E29" s="181"/>
      <c r="F29" s="177"/>
      <c r="G29" s="178"/>
      <c r="H29" s="179">
        <f>SUM(G27:G28)</f>
        <v>28876.964757709255</v>
      </c>
      <c r="I29" s="1"/>
    </row>
    <row r="30" spans="1:9" ht="16" thickBot="1" x14ac:dyDescent="0.25">
      <c r="A30" s="33"/>
      <c r="B30" s="34" t="s">
        <v>193</v>
      </c>
      <c r="C30" s="188"/>
      <c r="D30" s="183"/>
      <c r="E30" s="183"/>
      <c r="F30" s="177"/>
      <c r="G30" s="178"/>
      <c r="H30" s="1"/>
      <c r="I30" s="1"/>
    </row>
    <row r="31" spans="1:9" ht="16" thickBot="1" x14ac:dyDescent="0.25">
      <c r="A31" s="33">
        <f>A28+1</f>
        <v>16</v>
      </c>
      <c r="B31" s="35" t="s">
        <v>172</v>
      </c>
      <c r="C31" s="189"/>
      <c r="D31" s="184"/>
      <c r="E31" s="184"/>
      <c r="F31" s="177">
        <f>Testing!I10</f>
        <v>68760.799999999988</v>
      </c>
      <c r="G31" s="178">
        <f t="shared" si="0"/>
        <v>10097.033773861967</v>
      </c>
      <c r="H31" s="1"/>
      <c r="I31" s="1"/>
    </row>
    <row r="32" spans="1:9" ht="18" customHeight="1" thickBot="1" x14ac:dyDescent="0.25">
      <c r="A32" s="33">
        <f>A31+1</f>
        <v>17</v>
      </c>
      <c r="B32" s="35" t="s">
        <v>173</v>
      </c>
      <c r="C32" s="189"/>
      <c r="D32" s="184"/>
      <c r="E32" s="184"/>
      <c r="F32" s="177">
        <f>Testing!I11</f>
        <v>42628.464</v>
      </c>
      <c r="G32" s="178">
        <f t="shared" si="0"/>
        <v>6259.6863436123349</v>
      </c>
      <c r="H32" s="1"/>
      <c r="I32" s="1"/>
    </row>
    <row r="33" spans="1:9" ht="18" customHeight="1" thickBot="1" x14ac:dyDescent="0.25">
      <c r="A33" s="33">
        <f t="shared" ref="A33:A35" si="3">A32+1</f>
        <v>18</v>
      </c>
      <c r="B33" s="35" t="s">
        <v>376</v>
      </c>
      <c r="C33" s="189"/>
      <c r="D33" s="184"/>
      <c r="E33" s="184"/>
      <c r="F33" s="177">
        <f>Testing!C61*2</f>
        <v>17903.930131004367</v>
      </c>
      <c r="G33" s="178">
        <f t="shared" si="0"/>
        <v>2629.0646301034312</v>
      </c>
      <c r="H33" s="1"/>
      <c r="I33" s="1"/>
    </row>
    <row r="34" spans="1:9" ht="18" customHeight="1" thickBot="1" x14ac:dyDescent="0.25">
      <c r="A34" s="33">
        <f t="shared" si="3"/>
        <v>19</v>
      </c>
      <c r="B34" s="35" t="s">
        <v>377</v>
      </c>
      <c r="C34" s="189"/>
      <c r="D34" s="184"/>
      <c r="E34" s="184"/>
      <c r="F34" s="177">
        <f>Testing!C62*2</f>
        <v>726.20087336244535</v>
      </c>
      <c r="G34" s="178">
        <f t="shared" si="0"/>
        <v>106.63742633809771</v>
      </c>
      <c r="H34" s="1"/>
      <c r="I34" s="1"/>
    </row>
    <row r="35" spans="1:9" ht="18" customHeight="1" thickBot="1" x14ac:dyDescent="0.25">
      <c r="A35" s="33">
        <f t="shared" si="3"/>
        <v>20</v>
      </c>
      <c r="B35" s="35" t="s">
        <v>375</v>
      </c>
      <c r="C35" s="189"/>
      <c r="D35" s="184"/>
      <c r="E35" s="184"/>
      <c r="F35" s="177">
        <f>Testing!C64*2</f>
        <v>548</v>
      </c>
      <c r="G35" s="178">
        <f t="shared" si="0"/>
        <v>80.469897209985319</v>
      </c>
      <c r="H35" s="1"/>
      <c r="I35" s="1"/>
    </row>
    <row r="36" spans="1:9" ht="18" customHeight="1" thickBot="1" x14ac:dyDescent="0.25">
      <c r="A36" s="33"/>
      <c r="G36" s="178"/>
      <c r="H36" s="179">
        <f>SUM(G31:G35)</f>
        <v>19172.892071125818</v>
      </c>
      <c r="I36" s="1"/>
    </row>
    <row r="37" spans="1:9" ht="18" customHeight="1" thickBot="1" x14ac:dyDescent="0.25">
      <c r="A37" s="33"/>
      <c r="B37" s="34" t="s">
        <v>101</v>
      </c>
      <c r="C37" s="188"/>
      <c r="D37" s="183"/>
      <c r="E37" s="183"/>
      <c r="F37" s="177"/>
      <c r="G37" s="178"/>
      <c r="H37" s="1"/>
      <c r="I37" s="1"/>
    </row>
    <row r="38" spans="1:9" ht="18" customHeight="1" thickBot="1" x14ac:dyDescent="0.25">
      <c r="A38" s="33">
        <f>A35+1</f>
        <v>21</v>
      </c>
      <c r="B38" s="35" t="s">
        <v>379</v>
      </c>
      <c r="C38" s="189"/>
      <c r="D38" s="184"/>
      <c r="E38" s="184"/>
      <c r="F38" s="177">
        <f>'Data capture'!C18</f>
        <v>37336.244541484717</v>
      </c>
      <c r="G38" s="178">
        <f t="shared" si="0"/>
        <v>5482.5616066791072</v>
      </c>
      <c r="H38" s="1"/>
      <c r="I38" s="1"/>
    </row>
    <row r="39" spans="1:9" ht="16" thickBot="1" x14ac:dyDescent="0.25">
      <c r="A39" s="33">
        <f>A38+1</f>
        <v>22</v>
      </c>
      <c r="B39" s="35" t="s">
        <v>380</v>
      </c>
      <c r="C39" s="189"/>
      <c r="D39" s="184"/>
      <c r="E39" s="184"/>
      <c r="F39" s="177">
        <f>'Data capture'!G3</f>
        <v>6775.9499999999989</v>
      </c>
      <c r="G39" s="178">
        <f t="shared" si="0"/>
        <v>994.99999999999989</v>
      </c>
      <c r="H39" s="1"/>
      <c r="I39" s="1"/>
    </row>
    <row r="40" spans="1:9" ht="16" thickBot="1" x14ac:dyDescent="0.25">
      <c r="A40" s="33">
        <f t="shared" ref="A40" si="4">A39+1</f>
        <v>23</v>
      </c>
      <c r="B40" s="35" t="s">
        <v>381</v>
      </c>
      <c r="C40" s="189"/>
      <c r="D40" s="184"/>
      <c r="E40" s="184"/>
      <c r="F40" s="177">
        <f>'Data capture'!G4</f>
        <v>6000</v>
      </c>
      <c r="G40" s="178">
        <f t="shared" si="0"/>
        <v>881.05726872246703</v>
      </c>
      <c r="H40" s="1"/>
      <c r="I40" s="1"/>
    </row>
    <row r="41" spans="1:9" ht="16" thickBot="1" x14ac:dyDescent="0.25">
      <c r="A41" s="33">
        <f>A40+1</f>
        <v>24</v>
      </c>
      <c r="B41" s="35" t="s">
        <v>392</v>
      </c>
      <c r="C41" s="189"/>
      <c r="D41" s="184"/>
      <c r="E41" s="184"/>
      <c r="F41" s="177">
        <f>'Data capture'!D46</f>
        <v>6794.3822222222225</v>
      </c>
      <c r="G41" s="178">
        <f t="shared" si="0"/>
        <v>997.70664056126623</v>
      </c>
      <c r="H41" s="1"/>
      <c r="I41" s="1"/>
    </row>
    <row r="42" spans="1:9" ht="16" thickBot="1" x14ac:dyDescent="0.25">
      <c r="A42" s="33"/>
      <c r="B42" s="35"/>
      <c r="C42" s="189"/>
      <c r="D42" s="184"/>
      <c r="E42" s="184"/>
      <c r="F42" s="177"/>
      <c r="G42" s="178"/>
      <c r="H42" s="179">
        <f>SUM(G38:G41)</f>
        <v>8356.3255159628407</v>
      </c>
      <c r="I42" s="1"/>
    </row>
    <row r="43" spans="1:9" ht="16" thickBot="1" x14ac:dyDescent="0.25">
      <c r="A43" s="33"/>
      <c r="B43" s="35" t="s">
        <v>219</v>
      </c>
      <c r="C43" s="189"/>
      <c r="D43" s="184"/>
      <c r="E43" s="184"/>
      <c r="F43" s="177"/>
      <c r="G43" s="178"/>
      <c r="H43" s="1"/>
      <c r="I43" s="1"/>
    </row>
    <row r="44" spans="1:9" ht="16" thickBot="1" x14ac:dyDescent="0.25">
      <c r="A44" s="33">
        <f>A41+1</f>
        <v>25</v>
      </c>
      <c r="B44" s="35" t="s">
        <v>220</v>
      </c>
      <c r="C44" s="189"/>
      <c r="D44" s="184"/>
      <c r="E44" s="184"/>
      <c r="F44" s="177">
        <f>Treatment!M8</f>
        <v>320904.6336</v>
      </c>
      <c r="G44" s="178">
        <f t="shared" si="0"/>
        <v>47122.560000000005</v>
      </c>
      <c r="H44" s="1"/>
      <c r="I44" s="1"/>
    </row>
    <row r="45" spans="1:9" ht="16" thickBot="1" x14ac:dyDescent="0.25">
      <c r="A45" s="33"/>
      <c r="B45" s="35"/>
      <c r="C45" s="189"/>
      <c r="D45" s="184"/>
      <c r="E45" s="184"/>
      <c r="F45" s="177"/>
      <c r="G45" s="178"/>
      <c r="H45" s="179">
        <f>SUM(G44)</f>
        <v>47122.560000000005</v>
      </c>
    </row>
    <row r="46" spans="1:9" ht="16" thickBot="1" x14ac:dyDescent="0.25">
      <c r="A46" s="33"/>
      <c r="B46" s="35" t="s">
        <v>226</v>
      </c>
      <c r="C46" s="189"/>
      <c r="D46" s="184"/>
      <c r="E46" s="184"/>
      <c r="F46" s="177"/>
      <c r="G46" s="178"/>
      <c r="H46" s="1"/>
    </row>
    <row r="47" spans="1:9" ht="16" thickBot="1" x14ac:dyDescent="0.25">
      <c r="A47" s="33">
        <f>A44+1</f>
        <v>26</v>
      </c>
      <c r="B47" s="35" t="s">
        <v>441</v>
      </c>
      <c r="C47" s="189"/>
      <c r="D47" s="184"/>
      <c r="E47" s="184"/>
      <c r="F47" s="177">
        <f>'Office &amp; Misc'!E47</f>
        <v>13794.460000000001</v>
      </c>
      <c r="G47" s="178">
        <f t="shared" si="0"/>
        <v>2025.6182085168871</v>
      </c>
      <c r="H47" s="1"/>
      <c r="I47" s="1"/>
    </row>
    <row r="48" spans="1:9" ht="16" thickBot="1" x14ac:dyDescent="0.25">
      <c r="A48" s="33">
        <f>A47+1</f>
        <v>27</v>
      </c>
      <c r="B48" s="35" t="s">
        <v>228</v>
      </c>
      <c r="C48" s="189"/>
      <c r="D48" s="184"/>
      <c r="E48" s="184"/>
      <c r="F48" s="177">
        <f>'Office &amp; Misc'!I54</f>
        <v>21000</v>
      </c>
      <c r="G48" s="178">
        <f t="shared" si="0"/>
        <v>3083.7004405286343</v>
      </c>
      <c r="H48" s="1"/>
      <c r="I48" s="1"/>
    </row>
    <row r="49" spans="2:8" x14ac:dyDescent="0.2">
      <c r="G49" t="s">
        <v>443</v>
      </c>
      <c r="H49" s="179">
        <f>SUM(G47:G48)</f>
        <v>5109.3186490455209</v>
      </c>
    </row>
    <row r="50" spans="2:8" x14ac:dyDescent="0.2">
      <c r="B50" s="174" t="s">
        <v>192</v>
      </c>
      <c r="C50" s="190"/>
      <c r="D50" s="174"/>
      <c r="E50" s="174"/>
      <c r="F50" s="9">
        <f>SUM(F10:F48)</f>
        <v>2040323.6592637892</v>
      </c>
      <c r="G50" s="175">
        <f t="shared" ref="G50:G54" si="5">F50/$F$6</f>
        <v>299606.9984234639</v>
      </c>
      <c r="H50" s="1"/>
    </row>
    <row r="51" spans="2:8" x14ac:dyDescent="0.2">
      <c r="B51" s="174" t="s">
        <v>444</v>
      </c>
      <c r="C51" s="190"/>
      <c r="D51" s="174"/>
      <c r="E51" s="174"/>
      <c r="F51" s="9">
        <f>F50/Testing!H14</f>
        <v>1262.5765218216518</v>
      </c>
      <c r="G51" s="175">
        <f t="shared" si="5"/>
        <v>185.40037031154947</v>
      </c>
    </row>
    <row r="52" spans="2:8" x14ac:dyDescent="0.2">
      <c r="B52" s="174" t="s">
        <v>445</v>
      </c>
      <c r="C52" s="190"/>
      <c r="D52" s="174"/>
      <c r="E52" s="174"/>
      <c r="F52" s="9">
        <f>SUM(F10:F41,F47:F48)/Testing!H14</f>
        <v>1063.9969218216518</v>
      </c>
      <c r="G52" s="175">
        <f t="shared" si="5"/>
        <v>156.24037031154947</v>
      </c>
    </row>
    <row r="53" spans="2:8" x14ac:dyDescent="0.2">
      <c r="B53" s="174" t="s">
        <v>447</v>
      </c>
      <c r="C53" s="190"/>
      <c r="D53" s="174"/>
      <c r="E53" s="174"/>
      <c r="F53" s="9">
        <f>SUM(F10:F35,F47:F48)/Testing!H14</f>
        <v>1028.7824560025263</v>
      </c>
      <c r="G53" s="175">
        <f t="shared" si="5"/>
        <v>151.06937679919622</v>
      </c>
    </row>
    <row r="54" spans="2:8" x14ac:dyDescent="0.2">
      <c r="B54" s="174" t="s">
        <v>449</v>
      </c>
      <c r="C54" s="190"/>
      <c r="D54" s="174"/>
      <c r="E54" s="174"/>
      <c r="F54" s="9">
        <f>(SUM(F19:F24,F27:F28,F31:F35,F47:F48))/I3</f>
        <v>745.13244121557341</v>
      </c>
      <c r="G54" s="175">
        <f t="shared" si="5"/>
        <v>109.41739224898289</v>
      </c>
    </row>
    <row r="55" spans="2:8" x14ac:dyDescent="0.2">
      <c r="B55" s="174"/>
      <c r="C55" s="190"/>
      <c r="D55" s="174"/>
      <c r="E55" s="174"/>
      <c r="G55" s="175"/>
    </row>
    <row r="56" spans="2:8" x14ac:dyDescent="0.2">
      <c r="B56" s="174"/>
      <c r="C56" s="190"/>
      <c r="D56" s="174"/>
      <c r="E56" s="174"/>
      <c r="G56" s="175"/>
    </row>
    <row r="57" spans="2:8" x14ac:dyDescent="0.2">
      <c r="G57" s="175"/>
    </row>
    <row r="58" spans="2:8" x14ac:dyDescent="0.2">
      <c r="G58" s="175"/>
    </row>
    <row r="59" spans="2:8" x14ac:dyDescent="0.2">
      <c r="G59" s="175"/>
    </row>
    <row r="60" spans="2:8" x14ac:dyDescent="0.2">
      <c r="G60" s="175"/>
    </row>
    <row r="61" spans="2:8" x14ac:dyDescent="0.2">
      <c r="G61" s="175"/>
    </row>
    <row r="62" spans="2:8" x14ac:dyDescent="0.2">
      <c r="G62" s="175"/>
    </row>
    <row r="63" spans="2:8" x14ac:dyDescent="0.2">
      <c r="G63" s="175"/>
    </row>
    <row r="64" spans="2:8" x14ac:dyDescent="0.2">
      <c r="G64" s="175"/>
    </row>
    <row r="65" spans="7:7" x14ac:dyDescent="0.2">
      <c r="G65" s="175"/>
    </row>
    <row r="66" spans="7:7" x14ac:dyDescent="0.2">
      <c r="G66" s="175"/>
    </row>
    <row r="67" spans="7:7" x14ac:dyDescent="0.2">
      <c r="G67" s="17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J18" sqref="J18"/>
    </sheetView>
  </sheetViews>
  <sheetFormatPr baseColWidth="10" defaultColWidth="8.83203125" defaultRowHeight="15" x14ac:dyDescent="0.2"/>
  <cols>
    <col min="1" max="1" width="17.5" customWidth="1"/>
    <col min="2" max="2" width="31.5" style="120" customWidth="1"/>
    <col min="3" max="3" width="9.5" customWidth="1"/>
    <col min="4" max="4" width="14.5" style="120" customWidth="1"/>
    <col min="5" max="5" width="13.5" customWidth="1"/>
    <col min="6" max="6" width="12.33203125" bestFit="1" customWidth="1"/>
    <col min="7" max="7" width="14.33203125" customWidth="1"/>
    <col min="8" max="8" width="15.6640625" customWidth="1"/>
    <col min="9" max="9" width="14.83203125" style="120" customWidth="1"/>
    <col min="10" max="10" width="14.83203125" bestFit="1" customWidth="1"/>
    <col min="11" max="11" width="14.5" customWidth="1"/>
    <col min="12" max="12" width="18.5" style="5" customWidth="1"/>
    <col min="13" max="13" width="28.1640625" style="5" customWidth="1"/>
  </cols>
  <sheetData>
    <row r="1" spans="1:13" x14ac:dyDescent="0.2">
      <c r="A1" s="1" t="s">
        <v>135</v>
      </c>
      <c r="B1" s="124" t="s">
        <v>100</v>
      </c>
    </row>
    <row r="2" spans="1:13" ht="34.5" customHeight="1" x14ac:dyDescent="0.2">
      <c r="B2" s="124"/>
      <c r="C2" s="1" t="s">
        <v>116</v>
      </c>
      <c r="J2" s="27" t="s">
        <v>174</v>
      </c>
      <c r="K2" s="83" t="s">
        <v>117</v>
      </c>
    </row>
    <row r="3" spans="1:13" ht="16" thickBot="1" x14ac:dyDescent="0.25">
      <c r="A3" s="1"/>
      <c r="B3" s="124" t="s">
        <v>1</v>
      </c>
    </row>
    <row r="4" spans="1:13" ht="41" thickBot="1" x14ac:dyDescent="0.25">
      <c r="A4" s="1">
        <v>1</v>
      </c>
      <c r="B4" s="124" t="s">
        <v>181</v>
      </c>
      <c r="C4" s="111" t="s">
        <v>235</v>
      </c>
      <c r="D4" s="119" t="s">
        <v>102</v>
      </c>
      <c r="G4" s="120"/>
      <c r="I4"/>
      <c r="J4" s="133">
        <v>0</v>
      </c>
      <c r="K4" s="126" t="s">
        <v>177</v>
      </c>
      <c r="L4"/>
      <c r="M4"/>
    </row>
    <row r="5" spans="1:13" ht="41" thickBot="1" x14ac:dyDescent="0.25">
      <c r="A5" s="1">
        <f>A4+1</f>
        <v>2</v>
      </c>
      <c r="B5" s="124" t="s">
        <v>182</v>
      </c>
      <c r="C5" s="22"/>
      <c r="D5" s="119" t="s">
        <v>103</v>
      </c>
      <c r="F5" s="22"/>
      <c r="G5" s="119" t="s">
        <v>105</v>
      </c>
      <c r="I5"/>
      <c r="J5" s="133">
        <f>G32</f>
        <v>54101.376692307684</v>
      </c>
      <c r="K5" s="14"/>
      <c r="L5"/>
      <c r="M5"/>
    </row>
    <row r="6" spans="1:13" ht="16" thickBot="1" x14ac:dyDescent="0.25">
      <c r="A6" s="1"/>
      <c r="B6" s="124" t="s">
        <v>236</v>
      </c>
      <c r="C6" s="22"/>
      <c r="D6" s="119"/>
      <c r="F6" s="22"/>
      <c r="G6" s="119"/>
      <c r="I6"/>
      <c r="J6" s="133"/>
      <c r="K6" s="14"/>
      <c r="L6"/>
      <c r="M6"/>
    </row>
    <row r="7" spans="1:13" ht="16" thickBot="1" x14ac:dyDescent="0.25">
      <c r="A7" s="1"/>
      <c r="B7" s="124" t="s">
        <v>237</v>
      </c>
      <c r="C7" s="22"/>
      <c r="D7" s="119"/>
      <c r="F7" s="22"/>
      <c r="G7" s="119"/>
      <c r="I7"/>
      <c r="J7" s="133"/>
      <c r="K7" s="14"/>
      <c r="L7"/>
      <c r="M7"/>
    </row>
    <row r="8" spans="1:13" ht="16" thickBot="1" x14ac:dyDescent="0.25">
      <c r="A8" s="1"/>
      <c r="B8" s="124" t="s">
        <v>238</v>
      </c>
      <c r="C8" s="22"/>
      <c r="D8" s="119"/>
      <c r="F8" s="22"/>
      <c r="G8" s="119"/>
      <c r="I8"/>
      <c r="J8" s="133"/>
      <c r="K8" s="14"/>
      <c r="L8"/>
      <c r="M8"/>
    </row>
    <row r="9" spans="1:13" ht="16" thickBot="1" x14ac:dyDescent="0.25">
      <c r="A9" s="1"/>
      <c r="B9" s="124" t="s">
        <v>240</v>
      </c>
      <c r="C9" s="22"/>
      <c r="D9" s="119"/>
      <c r="F9" s="22"/>
      <c r="G9" s="119"/>
      <c r="I9"/>
      <c r="J9" s="133"/>
      <c r="K9" s="14"/>
      <c r="L9"/>
      <c r="M9"/>
    </row>
    <row r="10" spans="1:13" ht="31" thickBot="1" x14ac:dyDescent="0.25">
      <c r="A10" s="1"/>
      <c r="B10" s="124" t="s">
        <v>239</v>
      </c>
      <c r="C10" s="22"/>
      <c r="D10" s="119"/>
      <c r="F10" s="22"/>
      <c r="G10" s="119"/>
      <c r="I10"/>
      <c r="J10" s="133"/>
      <c r="K10" s="14"/>
      <c r="L10"/>
      <c r="M10"/>
    </row>
    <row r="11" spans="1:13" ht="41" thickBot="1" x14ac:dyDescent="0.25">
      <c r="A11" s="1">
        <f>A5+1</f>
        <v>3</v>
      </c>
      <c r="B11" s="124" t="s">
        <v>2</v>
      </c>
      <c r="C11" s="22"/>
      <c r="D11" s="119" t="s">
        <v>178</v>
      </c>
      <c r="F11" s="22"/>
      <c r="G11" s="119" t="s">
        <v>104</v>
      </c>
      <c r="H11" s="21"/>
      <c r="J11" s="133">
        <f>H32</f>
        <v>62057.46149999999</v>
      </c>
      <c r="K11" s="14"/>
      <c r="L11"/>
      <c r="M11"/>
    </row>
    <row r="12" spans="1:13" ht="41" thickBot="1" x14ac:dyDescent="0.25">
      <c r="A12" s="1"/>
      <c r="B12" s="124" t="s">
        <v>241</v>
      </c>
      <c r="C12" s="22"/>
      <c r="D12" s="119"/>
      <c r="F12" s="22"/>
      <c r="G12" s="119" t="s">
        <v>106</v>
      </c>
      <c r="H12" s="21"/>
      <c r="I12" s="21"/>
      <c r="J12" s="133">
        <f>E53</f>
        <v>72075.294465384635</v>
      </c>
      <c r="K12" s="14"/>
      <c r="L12"/>
      <c r="M12"/>
    </row>
    <row r="13" spans="1:13" ht="16" thickBot="1" x14ac:dyDescent="0.25">
      <c r="A13" s="1"/>
      <c r="B13" s="124"/>
      <c r="C13" s="22"/>
      <c r="D13" s="119"/>
      <c r="F13" s="22"/>
      <c r="G13" s="119"/>
      <c r="H13" s="21"/>
      <c r="I13" s="21"/>
      <c r="J13" s="133"/>
      <c r="K13" s="14"/>
      <c r="L13"/>
      <c r="M13"/>
    </row>
    <row r="14" spans="1:13" ht="16" thickBot="1" x14ac:dyDescent="0.25">
      <c r="A14" s="1"/>
      <c r="B14" s="124"/>
      <c r="C14" s="22"/>
      <c r="D14" s="119"/>
      <c r="F14" s="22"/>
      <c r="G14" s="119"/>
      <c r="H14" s="21"/>
      <c r="I14" s="21"/>
      <c r="J14" s="133"/>
      <c r="K14" s="14"/>
      <c r="L14"/>
      <c r="M14"/>
    </row>
    <row r="15" spans="1:13" ht="106" thickBot="1" x14ac:dyDescent="0.25">
      <c r="A15" s="1">
        <v>4</v>
      </c>
      <c r="B15" s="125" t="s">
        <v>243</v>
      </c>
      <c r="J15" s="133">
        <f>E55</f>
        <v>63769.348898846147</v>
      </c>
      <c r="K15" s="14"/>
    </row>
    <row r="16" spans="1:13" ht="54" thickBot="1" x14ac:dyDescent="0.25">
      <c r="A16" s="1"/>
      <c r="B16" s="124" t="s">
        <v>244</v>
      </c>
      <c r="C16" s="22"/>
      <c r="D16" s="119" t="s">
        <v>179</v>
      </c>
      <c r="F16" s="22"/>
      <c r="G16" s="119" t="s">
        <v>180</v>
      </c>
      <c r="I16"/>
      <c r="J16" s="133">
        <f>E54</f>
        <v>127538.69779769229</v>
      </c>
      <c r="K16" s="14"/>
      <c r="L16"/>
      <c r="M16"/>
    </row>
    <row r="17" spans="1:13" ht="31" thickBot="1" x14ac:dyDescent="0.25">
      <c r="A17" s="1"/>
      <c r="B17" s="124" t="s">
        <v>245</v>
      </c>
      <c r="J17" s="133">
        <f t="shared" ref="J17" si="0">C17*F17</f>
        <v>0</v>
      </c>
      <c r="K17" s="14"/>
      <c r="M17" s="84"/>
    </row>
    <row r="18" spans="1:13" ht="31" thickBot="1" x14ac:dyDescent="0.25">
      <c r="B18" s="120" t="s">
        <v>242</v>
      </c>
      <c r="C18" s="14">
        <v>3500</v>
      </c>
      <c r="D18" s="120" t="s">
        <v>333</v>
      </c>
      <c r="F18" s="14">
        <v>3</v>
      </c>
      <c r="G18" t="s">
        <v>334</v>
      </c>
      <c r="H18" s="14">
        <v>3</v>
      </c>
      <c r="I18" s="120" t="s">
        <v>335</v>
      </c>
      <c r="J18" s="133">
        <f>C18*F18*H18</f>
        <v>31500</v>
      </c>
      <c r="K18" s="14"/>
    </row>
    <row r="19" spans="1:13" ht="16" thickBot="1" x14ac:dyDescent="0.25">
      <c r="J19" s="134"/>
    </row>
    <row r="20" spans="1:13" ht="16" thickBot="1" x14ac:dyDescent="0.25">
      <c r="J20" s="133">
        <f t="shared" ref="J20:J24" si="1">C20*F20</f>
        <v>0</v>
      </c>
      <c r="K20" s="14"/>
    </row>
    <row r="21" spans="1:13" ht="61" thickBot="1" x14ac:dyDescent="0.25">
      <c r="B21" s="125" t="s">
        <v>343</v>
      </c>
      <c r="C21" s="22">
        <v>5</v>
      </c>
      <c r="D21" s="119" t="s">
        <v>344</v>
      </c>
      <c r="F21" s="142">
        <v>2000</v>
      </c>
      <c r="G21" s="119" t="s">
        <v>345</v>
      </c>
      <c r="H21" s="22">
        <v>1</v>
      </c>
      <c r="I21" s="119" t="s">
        <v>346</v>
      </c>
      <c r="J21" s="133">
        <f>C21*F21*H21</f>
        <v>10000</v>
      </c>
      <c r="K21" s="14"/>
    </row>
    <row r="22" spans="1:13" ht="16" thickBot="1" x14ac:dyDescent="0.25">
      <c r="J22" s="133">
        <f t="shared" si="1"/>
        <v>0</v>
      </c>
      <c r="K22" s="14"/>
    </row>
    <row r="23" spans="1:13" ht="16" thickBot="1" x14ac:dyDescent="0.25">
      <c r="B23" s="125" t="s">
        <v>264</v>
      </c>
      <c r="J23" s="133">
        <f t="shared" si="1"/>
        <v>0</v>
      </c>
      <c r="K23" s="14"/>
    </row>
    <row r="24" spans="1:13" ht="16" thickBot="1" x14ac:dyDescent="0.25">
      <c r="B24" s="120" t="s">
        <v>265</v>
      </c>
      <c r="J24" s="133">
        <f t="shared" si="1"/>
        <v>0</v>
      </c>
      <c r="K24" s="14"/>
    </row>
    <row r="25" spans="1:13" x14ac:dyDescent="0.2">
      <c r="I25" s="120" t="s">
        <v>336</v>
      </c>
      <c r="J25" s="135">
        <f>SUM(J4:J24)</f>
        <v>421042.17935423076</v>
      </c>
    </row>
    <row r="26" spans="1:13" s="114" customFormat="1" x14ac:dyDescent="0.2">
      <c r="A26" s="112" t="s">
        <v>272</v>
      </c>
      <c r="B26" s="122" t="s">
        <v>273</v>
      </c>
      <c r="C26" s="112" t="s">
        <v>274</v>
      </c>
      <c r="D26" s="122" t="s">
        <v>275</v>
      </c>
      <c r="E26" s="113" t="s">
        <v>278</v>
      </c>
      <c r="F26" s="113" t="s">
        <v>279</v>
      </c>
      <c r="G26" s="114" t="s">
        <v>295</v>
      </c>
      <c r="H26" s="114" t="s">
        <v>296</v>
      </c>
      <c r="I26" s="121"/>
    </row>
    <row r="27" spans="1:13" s="114" customFormat="1" x14ac:dyDescent="0.2">
      <c r="A27" s="115" t="s">
        <v>280</v>
      </c>
      <c r="B27" s="115" t="s">
        <v>281</v>
      </c>
      <c r="C27" s="115" t="s">
        <v>282</v>
      </c>
      <c r="D27" s="123">
        <v>397.80424038461535</v>
      </c>
      <c r="E27" s="112">
        <v>16</v>
      </c>
      <c r="F27" s="112">
        <v>18</v>
      </c>
      <c r="G27" s="118">
        <f>$D$27*E27</f>
        <v>6364.8678461538457</v>
      </c>
      <c r="H27" s="118">
        <f>$D$27*F27</f>
        <v>7160.4763269230762</v>
      </c>
      <c r="I27" s="121"/>
    </row>
    <row r="28" spans="1:13" s="114" customFormat="1" x14ac:dyDescent="0.2">
      <c r="A28" s="115" t="s">
        <v>283</v>
      </c>
      <c r="B28" s="115" t="s">
        <v>284</v>
      </c>
      <c r="C28" s="115" t="s">
        <v>285</v>
      </c>
      <c r="D28" s="123">
        <v>230.06925432692307</v>
      </c>
      <c r="E28" s="112">
        <v>0</v>
      </c>
      <c r="F28" s="112">
        <v>18</v>
      </c>
      <c r="G28" s="118">
        <f t="shared" ref="G28:G31" si="2">$D$27*E28</f>
        <v>0</v>
      </c>
      <c r="H28" s="118">
        <f t="shared" ref="H28:H31" si="3">$D$27*F28</f>
        <v>7160.4763269230762</v>
      </c>
      <c r="I28" s="121"/>
    </row>
    <row r="29" spans="1:13" s="114" customFormat="1" x14ac:dyDescent="0.2">
      <c r="A29" s="115" t="s">
        <v>286</v>
      </c>
      <c r="B29" s="115" t="s">
        <v>287</v>
      </c>
      <c r="C29" s="115" t="s">
        <v>288</v>
      </c>
      <c r="D29" s="123">
        <v>174.78219735865383</v>
      </c>
      <c r="E29" s="112">
        <v>40</v>
      </c>
      <c r="F29" s="112">
        <v>40</v>
      </c>
      <c r="G29" s="118">
        <f t="shared" si="2"/>
        <v>15912.169615384613</v>
      </c>
      <c r="H29" s="118">
        <f t="shared" si="3"/>
        <v>15912.169615384613</v>
      </c>
      <c r="I29" s="121"/>
    </row>
    <row r="30" spans="1:13" s="114" customFormat="1" x14ac:dyDescent="0.2">
      <c r="A30" s="115" t="s">
        <v>289</v>
      </c>
      <c r="B30" s="115" t="s">
        <v>290</v>
      </c>
      <c r="C30" s="115" t="s">
        <v>291</v>
      </c>
      <c r="D30" s="123">
        <v>144.64174311778845</v>
      </c>
      <c r="E30" s="112">
        <v>40</v>
      </c>
      <c r="F30" s="112">
        <v>40</v>
      </c>
      <c r="G30" s="118">
        <f t="shared" si="2"/>
        <v>15912.169615384613</v>
      </c>
      <c r="H30" s="118">
        <f t="shared" si="3"/>
        <v>15912.169615384613</v>
      </c>
      <c r="I30" s="121"/>
    </row>
    <row r="31" spans="1:13" s="114" customFormat="1" x14ac:dyDescent="0.2">
      <c r="A31" s="115" t="s">
        <v>292</v>
      </c>
      <c r="B31" s="115" t="s">
        <v>293</v>
      </c>
      <c r="C31" s="115" t="s">
        <v>294</v>
      </c>
      <c r="D31" s="123">
        <v>78.888874326923073</v>
      </c>
      <c r="E31" s="112">
        <v>40</v>
      </c>
      <c r="F31" s="112">
        <v>40</v>
      </c>
      <c r="G31" s="118">
        <f t="shared" si="2"/>
        <v>15912.169615384613</v>
      </c>
      <c r="H31" s="118">
        <f t="shared" si="3"/>
        <v>15912.169615384613</v>
      </c>
      <c r="I31" s="121"/>
    </row>
    <row r="32" spans="1:13" x14ac:dyDescent="0.2">
      <c r="F32" t="s">
        <v>192</v>
      </c>
      <c r="G32" s="9">
        <f>SUM(G27:G31)</f>
        <v>54101.376692307684</v>
      </c>
      <c r="H32" s="9">
        <f>SUM(H27:H31)</f>
        <v>62057.46149999999</v>
      </c>
    </row>
    <row r="34" spans="1:8" x14ac:dyDescent="0.2">
      <c r="A34" s="112" t="s">
        <v>272</v>
      </c>
      <c r="B34" s="112" t="s">
        <v>273</v>
      </c>
      <c r="C34" s="112" t="s">
        <v>274</v>
      </c>
      <c r="D34" s="112" t="s">
        <v>275</v>
      </c>
      <c r="E34" s="112" t="s">
        <v>276</v>
      </c>
      <c r="F34" s="112" t="s">
        <v>277</v>
      </c>
      <c r="G34" s="113" t="s">
        <v>278</v>
      </c>
      <c r="H34" s="113" t="s">
        <v>279</v>
      </c>
    </row>
    <row r="35" spans="1:8" x14ac:dyDescent="0.2">
      <c r="A35" s="115" t="s">
        <v>280</v>
      </c>
      <c r="B35" s="115" t="s">
        <v>281</v>
      </c>
      <c r="C35" s="115" t="s">
        <v>282</v>
      </c>
      <c r="D35" s="116">
        <v>397.80424038461535</v>
      </c>
      <c r="E35" s="112"/>
      <c r="F35" s="117">
        <v>0.2</v>
      </c>
      <c r="G35" s="112">
        <v>16</v>
      </c>
      <c r="H35" s="112">
        <v>18</v>
      </c>
    </row>
    <row r="36" spans="1:8" x14ac:dyDescent="0.2">
      <c r="A36" s="115" t="s">
        <v>283</v>
      </c>
      <c r="B36" s="115" t="s">
        <v>284</v>
      </c>
      <c r="C36" s="115" t="s">
        <v>285</v>
      </c>
      <c r="D36" s="116">
        <v>230.06925432692307</v>
      </c>
      <c r="E36" s="112"/>
      <c r="F36" s="117">
        <v>0.05</v>
      </c>
      <c r="G36" s="112">
        <v>0</v>
      </c>
      <c r="H36" s="112">
        <v>18</v>
      </c>
    </row>
    <row r="37" spans="1:8" x14ac:dyDescent="0.2">
      <c r="A37" s="115" t="s">
        <v>286</v>
      </c>
      <c r="B37" s="115" t="s">
        <v>287</v>
      </c>
      <c r="C37" s="115" t="s">
        <v>288</v>
      </c>
      <c r="D37" s="116">
        <v>174.78219735865383</v>
      </c>
      <c r="E37" s="112"/>
      <c r="F37" s="117">
        <v>0.2</v>
      </c>
      <c r="G37" s="112">
        <v>40</v>
      </c>
      <c r="H37" s="112">
        <v>40</v>
      </c>
    </row>
    <row r="38" spans="1:8" x14ac:dyDescent="0.2">
      <c r="A38" s="115" t="s">
        <v>289</v>
      </c>
      <c r="B38" s="115" t="s">
        <v>290</v>
      </c>
      <c r="C38" s="115" t="s">
        <v>291</v>
      </c>
      <c r="D38" s="116">
        <v>144.64174311778845</v>
      </c>
      <c r="E38" s="112"/>
      <c r="F38" s="117">
        <v>0.1</v>
      </c>
      <c r="G38" s="112">
        <v>40</v>
      </c>
      <c r="H38" s="112">
        <v>40</v>
      </c>
    </row>
    <row r="39" spans="1:8" x14ac:dyDescent="0.2">
      <c r="A39" s="115" t="s">
        <v>292</v>
      </c>
      <c r="B39" s="115" t="s">
        <v>293</v>
      </c>
      <c r="C39" s="115" t="s">
        <v>294</v>
      </c>
      <c r="D39" s="116">
        <v>78.888874326923073</v>
      </c>
      <c r="E39" s="112"/>
      <c r="F39" s="117">
        <v>0.2</v>
      </c>
      <c r="G39" s="112">
        <v>40</v>
      </c>
      <c r="H39" s="112">
        <v>40</v>
      </c>
    </row>
    <row r="40" spans="1:8" ht="30" x14ac:dyDescent="0.2">
      <c r="A40" s="115" t="s">
        <v>297</v>
      </c>
      <c r="B40" s="115" t="s">
        <v>298</v>
      </c>
      <c r="C40" s="115" t="s">
        <v>299</v>
      </c>
      <c r="D40" s="116">
        <v>61.053615000000001</v>
      </c>
      <c r="E40" s="112">
        <f>D40*20*4</f>
        <v>4884.2892000000002</v>
      </c>
      <c r="F40" s="127">
        <v>0.5</v>
      </c>
      <c r="G40" s="112">
        <v>0</v>
      </c>
      <c r="H40" s="112">
        <v>0</v>
      </c>
    </row>
    <row r="41" spans="1:8" x14ac:dyDescent="0.2">
      <c r="A41" s="115" t="s">
        <v>300</v>
      </c>
      <c r="B41" s="115" t="s">
        <v>301</v>
      </c>
      <c r="C41" s="115" t="s">
        <v>302</v>
      </c>
      <c r="D41" s="116">
        <v>36.509167211538461</v>
      </c>
      <c r="E41" s="112">
        <f>D41*40*4</f>
        <v>5841.4667538461536</v>
      </c>
      <c r="F41" s="117">
        <v>1</v>
      </c>
      <c r="G41" s="112">
        <v>0</v>
      </c>
      <c r="H41" s="112">
        <v>0</v>
      </c>
    </row>
    <row r="42" spans="1:8" x14ac:dyDescent="0.2">
      <c r="A42" s="115"/>
      <c r="B42" s="115"/>
      <c r="C42" s="115"/>
      <c r="D42" s="128"/>
      <c r="E42" s="112"/>
      <c r="F42" s="112"/>
      <c r="G42" s="112"/>
      <c r="H42" s="112"/>
    </row>
    <row r="43" spans="1:8" x14ac:dyDescent="0.2">
      <c r="A43" s="115" t="s">
        <v>303</v>
      </c>
      <c r="B43" s="115" t="s">
        <v>304</v>
      </c>
      <c r="C43" s="115" t="s">
        <v>305</v>
      </c>
      <c r="D43" s="112"/>
      <c r="E43" s="129">
        <v>17166.669999999998</v>
      </c>
      <c r="F43" s="117">
        <v>1</v>
      </c>
      <c r="G43" s="112"/>
      <c r="H43" s="112"/>
    </row>
    <row r="44" spans="1:8" ht="30" x14ac:dyDescent="0.2">
      <c r="A44" s="115" t="s">
        <v>306</v>
      </c>
      <c r="B44" s="115" t="s">
        <v>307</v>
      </c>
      <c r="C44" s="115" t="s">
        <v>308</v>
      </c>
      <c r="D44" s="112"/>
      <c r="E44" s="128">
        <v>7820</v>
      </c>
      <c r="F44" s="117">
        <v>1</v>
      </c>
      <c r="G44" s="112"/>
      <c r="H44" s="112"/>
    </row>
    <row r="45" spans="1:8" x14ac:dyDescent="0.2">
      <c r="A45" s="115" t="s">
        <v>309</v>
      </c>
      <c r="B45" s="130" t="s">
        <v>310</v>
      </c>
      <c r="C45" s="130" t="s">
        <v>311</v>
      </c>
      <c r="D45" s="112"/>
      <c r="E45" s="128">
        <v>7820</v>
      </c>
      <c r="F45" s="117">
        <v>1</v>
      </c>
      <c r="G45" s="112"/>
      <c r="H45" s="112"/>
    </row>
    <row r="46" spans="1:8" x14ac:dyDescent="0.2">
      <c r="A46" s="115" t="s">
        <v>312</v>
      </c>
      <c r="B46" s="130" t="s">
        <v>290</v>
      </c>
      <c r="C46" s="130" t="s">
        <v>313</v>
      </c>
      <c r="D46" s="112"/>
      <c r="E46" s="128">
        <v>7820</v>
      </c>
      <c r="F46" s="117">
        <v>1</v>
      </c>
      <c r="G46" s="112"/>
      <c r="H46" s="112"/>
    </row>
    <row r="47" spans="1:8" ht="30" x14ac:dyDescent="0.2">
      <c r="A47" s="115" t="s">
        <v>314</v>
      </c>
      <c r="B47" s="115" t="s">
        <v>315</v>
      </c>
      <c r="C47" s="115" t="s">
        <v>316</v>
      </c>
      <c r="D47" s="112"/>
      <c r="E47" s="128">
        <v>9123.3333333333339</v>
      </c>
      <c r="F47" s="117">
        <v>1</v>
      </c>
      <c r="G47" s="112"/>
      <c r="H47" s="112"/>
    </row>
    <row r="48" spans="1:8" ht="30" x14ac:dyDescent="0.2">
      <c r="A48" s="115" t="s">
        <v>317</v>
      </c>
      <c r="B48" s="115" t="s">
        <v>318</v>
      </c>
      <c r="C48" s="115" t="s">
        <v>319</v>
      </c>
      <c r="D48" s="112"/>
      <c r="E48" s="128">
        <v>9123.3333333333339</v>
      </c>
      <c r="F48" s="117">
        <v>1</v>
      </c>
      <c r="G48" s="112"/>
      <c r="H48" s="112"/>
    </row>
    <row r="49" spans="1:8" ht="30" x14ac:dyDescent="0.2">
      <c r="A49" s="115" t="s">
        <v>320</v>
      </c>
      <c r="B49" s="115" t="s">
        <v>321</v>
      </c>
      <c r="C49" s="115" t="s">
        <v>322</v>
      </c>
      <c r="D49" s="112"/>
      <c r="E49" s="128">
        <v>9123.3333333333339</v>
      </c>
      <c r="F49" s="117">
        <v>1</v>
      </c>
      <c r="G49" s="112"/>
      <c r="H49" s="112"/>
    </row>
    <row r="50" spans="1:8" ht="30" x14ac:dyDescent="0.2">
      <c r="A50" s="115" t="s">
        <v>323</v>
      </c>
      <c r="B50" s="115" t="s">
        <v>324</v>
      </c>
      <c r="C50" s="115" t="s">
        <v>325</v>
      </c>
      <c r="D50" s="112"/>
      <c r="E50" s="128">
        <v>8688.9833333333499</v>
      </c>
      <c r="F50" s="117">
        <v>1</v>
      </c>
      <c r="G50" s="112"/>
      <c r="H50" s="112"/>
    </row>
    <row r="51" spans="1:8" ht="30" x14ac:dyDescent="0.2">
      <c r="A51" s="115" t="s">
        <v>326</v>
      </c>
      <c r="B51" s="115" t="s">
        <v>327</v>
      </c>
      <c r="C51" s="115" t="s">
        <v>328</v>
      </c>
      <c r="D51" s="112"/>
      <c r="E51" s="128">
        <v>8688.9833333333499</v>
      </c>
      <c r="F51" s="117">
        <v>1</v>
      </c>
      <c r="G51" s="112"/>
      <c r="H51" s="112"/>
    </row>
    <row r="52" spans="1:8" x14ac:dyDescent="0.2">
      <c r="A52" s="114"/>
      <c r="B52" s="114"/>
      <c r="C52" s="114"/>
      <c r="D52" s="114" t="s">
        <v>192</v>
      </c>
      <c r="E52" s="132">
        <f>SUM(E40:E51)</f>
        <v>96100.392620512852</v>
      </c>
      <c r="F52" s="114"/>
      <c r="G52" s="114"/>
      <c r="H52" s="114"/>
    </row>
    <row r="53" spans="1:8" x14ac:dyDescent="0.2">
      <c r="A53" s="114"/>
      <c r="B53" s="114"/>
      <c r="C53" s="114"/>
      <c r="D53" s="114" t="s">
        <v>329</v>
      </c>
      <c r="E53" s="132">
        <f>(E52/4)*3</f>
        <v>72075.294465384635</v>
      </c>
      <c r="F53" s="114"/>
      <c r="G53" s="114"/>
      <c r="H53" s="114"/>
    </row>
    <row r="54" spans="1:8" x14ac:dyDescent="0.2">
      <c r="A54" s="114" t="s">
        <v>330</v>
      </c>
      <c r="B54" s="114"/>
      <c r="C54" s="114"/>
      <c r="D54" s="114"/>
      <c r="E54" s="132">
        <f>2*(SUM($E$43:$E$46,($D$38*40*4)))</f>
        <v>127538.69779769229</v>
      </c>
      <c r="F54" s="114"/>
      <c r="G54" s="114"/>
      <c r="H54" s="114"/>
    </row>
    <row r="55" spans="1:8" x14ac:dyDescent="0.2">
      <c r="A55" s="131" t="s">
        <v>331</v>
      </c>
      <c r="E55" s="132">
        <f>(SUM($E$43:$E$46,($D$38*40*4)))</f>
        <v>63769.348898846147</v>
      </c>
    </row>
    <row r="56" spans="1:8" x14ac:dyDescent="0.2">
      <c r="A56" s="131" t="s">
        <v>332</v>
      </c>
      <c r="E56" s="10">
        <f>J21</f>
        <v>10000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A41" workbookViewId="0">
      <selection activeCell="M44" sqref="M44"/>
    </sheetView>
  </sheetViews>
  <sheetFormatPr baseColWidth="10" defaultColWidth="8.83203125" defaultRowHeight="15" x14ac:dyDescent="0.2"/>
  <cols>
    <col min="2" max="2" width="80" customWidth="1"/>
    <col min="6" max="6" width="13" customWidth="1"/>
    <col min="9" max="9" width="10.6640625" customWidth="1"/>
    <col min="10" max="10" width="12.1640625" customWidth="1"/>
    <col min="12" max="12" width="10.6640625" customWidth="1"/>
    <col min="13" max="13" width="12.6640625" bestFit="1" customWidth="1"/>
  </cols>
  <sheetData>
    <row r="1" spans="1:15" x14ac:dyDescent="0.2">
      <c r="A1" s="1" t="s">
        <v>135</v>
      </c>
      <c r="B1" s="50" t="s">
        <v>37</v>
      </c>
      <c r="C1" s="61"/>
      <c r="D1" s="61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" thickBot="1" x14ac:dyDescent="0.25">
      <c r="A2" s="4"/>
      <c r="B2" s="63"/>
      <c r="C2" s="62"/>
      <c r="D2" s="62"/>
      <c r="E2" s="6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" thickBot="1" x14ac:dyDescent="0.25">
      <c r="A3" s="4">
        <v>1</v>
      </c>
      <c r="B3" s="64" t="s">
        <v>136</v>
      </c>
      <c r="C3" s="65"/>
      <c r="D3" s="66"/>
      <c r="E3" s="40" t="s">
        <v>23</v>
      </c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" thickBot="1" x14ac:dyDescent="0.25">
      <c r="A4" s="4"/>
      <c r="B4" s="53"/>
      <c r="C4" s="67"/>
      <c r="D4" s="67"/>
      <c r="E4" s="40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6" thickBot="1" x14ac:dyDescent="0.25">
      <c r="A5" s="4">
        <v>2</v>
      </c>
      <c r="B5" s="64" t="s">
        <v>137</v>
      </c>
      <c r="C5" s="65"/>
      <c r="D5" s="66"/>
      <c r="E5" s="40" t="s">
        <v>23</v>
      </c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6" thickBot="1" x14ac:dyDescent="0.25">
      <c r="A6" s="4"/>
      <c r="B6" s="53"/>
      <c r="C6" s="67"/>
      <c r="D6" s="67"/>
      <c r="E6" s="40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6" thickBot="1" x14ac:dyDescent="0.25">
      <c r="A7" s="4">
        <v>3</v>
      </c>
      <c r="B7" s="53" t="s">
        <v>138</v>
      </c>
      <c r="C7" s="67"/>
      <c r="D7" s="66">
        <v>5</v>
      </c>
      <c r="E7" s="40" t="s">
        <v>24</v>
      </c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6" thickBot="1" x14ac:dyDescent="0.25">
      <c r="A8" s="4"/>
      <c r="B8" s="53"/>
      <c r="C8" s="67"/>
      <c r="D8" s="68"/>
      <c r="E8" s="40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6" thickBot="1" x14ac:dyDescent="0.25">
      <c r="A9" s="4">
        <v>4</v>
      </c>
      <c r="B9" s="53" t="s">
        <v>139</v>
      </c>
      <c r="C9" s="67"/>
      <c r="D9" s="66">
        <v>44</v>
      </c>
      <c r="E9" s="40" t="s">
        <v>47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6" thickBot="1" x14ac:dyDescent="0.25">
      <c r="A10" s="4"/>
      <c r="B10" s="53"/>
      <c r="C10" s="67"/>
      <c r="D10" s="68"/>
      <c r="E10" s="40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6" thickBot="1" x14ac:dyDescent="0.25">
      <c r="A11" s="4">
        <v>5</v>
      </c>
      <c r="B11" s="53" t="s">
        <v>148</v>
      </c>
      <c r="C11" s="67"/>
      <c r="D11" s="66">
        <f>D7*D9</f>
        <v>220</v>
      </c>
      <c r="E11" s="40" t="s">
        <v>24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6" thickBot="1" x14ac:dyDescent="0.25">
      <c r="A12" s="4"/>
      <c r="B12" s="53"/>
      <c r="C12" s="67"/>
      <c r="D12" s="68"/>
      <c r="E12" s="40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6" thickBot="1" x14ac:dyDescent="0.25">
      <c r="A13" s="4">
        <v>6</v>
      </c>
      <c r="B13" s="53" t="s">
        <v>204</v>
      </c>
      <c r="C13" s="67"/>
      <c r="D13" s="66">
        <v>202</v>
      </c>
      <c r="E13" s="40" t="s">
        <v>24</v>
      </c>
      <c r="F13" s="4" t="s">
        <v>247</v>
      </c>
      <c r="G13" s="4"/>
      <c r="H13" s="4"/>
      <c r="I13" s="4"/>
      <c r="J13" s="4"/>
      <c r="K13" s="4"/>
      <c r="L13" s="4"/>
      <c r="M13" s="4"/>
      <c r="N13" s="4"/>
      <c r="O13" s="4"/>
    </row>
    <row r="14" spans="1:15" ht="16" thickBot="1" x14ac:dyDescent="0.25">
      <c r="A14" s="4"/>
      <c r="B14" s="53"/>
      <c r="C14" s="67"/>
      <c r="D14" s="6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7" thickBot="1" x14ac:dyDescent="0.25">
      <c r="A15" s="4">
        <v>7</v>
      </c>
      <c r="B15" s="53" t="s">
        <v>140</v>
      </c>
      <c r="C15" s="67"/>
      <c r="D15" s="53" t="s">
        <v>25</v>
      </c>
      <c r="E15" s="38">
        <v>11</v>
      </c>
      <c r="F15" s="69" t="s">
        <v>26</v>
      </c>
      <c r="G15" s="69" t="s">
        <v>27</v>
      </c>
      <c r="H15" s="38">
        <v>7</v>
      </c>
      <c r="I15" s="40" t="s">
        <v>28</v>
      </c>
      <c r="J15" s="4"/>
      <c r="K15" s="4"/>
      <c r="L15" s="4"/>
      <c r="M15" s="4"/>
      <c r="N15" s="4"/>
      <c r="O15" s="4"/>
    </row>
    <row r="16" spans="1:15" ht="16" thickBot="1" x14ac:dyDescent="0.25">
      <c r="A16" s="4"/>
      <c r="B16" s="53"/>
      <c r="C16" s="67"/>
      <c r="D16" s="53"/>
      <c r="E16" s="40"/>
      <c r="F16" s="40"/>
      <c r="G16" s="40"/>
      <c r="H16" s="40"/>
      <c r="I16" s="40"/>
      <c r="J16" s="4"/>
      <c r="K16" s="4"/>
      <c r="L16" s="4"/>
      <c r="M16" s="4"/>
      <c r="N16" s="4"/>
      <c r="O16" s="4"/>
    </row>
    <row r="17" spans="1:15" ht="16" thickBot="1" x14ac:dyDescent="0.25">
      <c r="A17" s="4">
        <f>A15+1</f>
        <v>8</v>
      </c>
      <c r="B17" s="53" t="s">
        <v>141</v>
      </c>
      <c r="C17" s="67"/>
      <c r="D17" s="51">
        <v>8</v>
      </c>
      <c r="E17" s="40" t="s">
        <v>29</v>
      </c>
      <c r="F17" s="70" t="s">
        <v>30</v>
      </c>
      <c r="G17" s="38">
        <v>40</v>
      </c>
      <c r="H17" s="40" t="s">
        <v>51</v>
      </c>
      <c r="I17" s="40"/>
      <c r="J17" s="4"/>
      <c r="K17" s="4"/>
      <c r="L17" s="4"/>
      <c r="M17" s="4"/>
      <c r="N17" s="4"/>
      <c r="O17" s="4"/>
    </row>
    <row r="18" spans="1:15" ht="16" thickBot="1" x14ac:dyDescent="0.25">
      <c r="A18" s="4"/>
      <c r="B18" s="53"/>
      <c r="C18" s="67"/>
      <c r="D18" s="52"/>
      <c r="E18" s="40"/>
      <c r="F18" s="70"/>
      <c r="G18" s="39"/>
      <c r="H18" s="40"/>
      <c r="I18" s="40"/>
      <c r="J18" s="4"/>
      <c r="K18" s="4"/>
      <c r="L18" s="4"/>
      <c r="M18" s="4"/>
      <c r="N18" s="4"/>
      <c r="O18" s="4"/>
    </row>
    <row r="19" spans="1:15" ht="16" thickBot="1" x14ac:dyDescent="0.25">
      <c r="A19" s="4">
        <f>A17+1</f>
        <v>9</v>
      </c>
      <c r="B19" s="53" t="s">
        <v>142</v>
      </c>
      <c r="C19" s="67"/>
      <c r="D19" s="51">
        <v>1.5</v>
      </c>
      <c r="E19" s="40" t="s">
        <v>29</v>
      </c>
      <c r="F19" s="70" t="s">
        <v>30</v>
      </c>
      <c r="G19" s="38"/>
      <c r="H19" s="40" t="s">
        <v>51</v>
      </c>
      <c r="I19" s="40"/>
      <c r="J19" s="4"/>
      <c r="K19" s="4"/>
      <c r="L19" s="4"/>
      <c r="M19" s="4"/>
      <c r="N19" s="4"/>
      <c r="O19" s="4"/>
    </row>
    <row r="20" spans="1:15" ht="16" thickBot="1" x14ac:dyDescent="0.25">
      <c r="A20" s="4"/>
      <c r="B20" s="53"/>
      <c r="C20" s="67"/>
      <c r="D20" s="52"/>
      <c r="E20" s="40"/>
      <c r="F20" s="70"/>
      <c r="G20" s="39"/>
      <c r="H20" s="40"/>
      <c r="I20" s="40"/>
      <c r="J20" s="4"/>
      <c r="K20" s="4"/>
      <c r="L20" s="4"/>
      <c r="M20" s="4"/>
      <c r="N20" s="4"/>
      <c r="O20" s="4"/>
    </row>
    <row r="21" spans="1:15" ht="16" thickBot="1" x14ac:dyDescent="0.25">
      <c r="A21" s="4">
        <f>A19+1</f>
        <v>10</v>
      </c>
      <c r="B21" s="53" t="s">
        <v>143</v>
      </c>
      <c r="C21" s="67"/>
      <c r="D21" s="51">
        <v>6.5</v>
      </c>
      <c r="E21" s="40" t="s">
        <v>29</v>
      </c>
      <c r="F21" s="70" t="s">
        <v>30</v>
      </c>
      <c r="G21" s="38"/>
      <c r="H21" s="40" t="s">
        <v>51</v>
      </c>
      <c r="I21" s="40"/>
      <c r="J21" s="4"/>
      <c r="K21" s="4"/>
      <c r="L21" s="4"/>
      <c r="M21" s="4"/>
      <c r="N21" s="4"/>
      <c r="O21" s="4"/>
    </row>
    <row r="22" spans="1:15" ht="16" thickBot="1" x14ac:dyDescent="0.25">
      <c r="A22" s="4"/>
      <c r="B22" s="53"/>
      <c r="C22" s="67"/>
      <c r="D22" s="51"/>
      <c r="E22" s="40"/>
      <c r="F22" s="70"/>
      <c r="G22" s="38"/>
      <c r="H22" s="40"/>
      <c r="I22" s="40"/>
      <c r="J22" s="4"/>
      <c r="K22" s="4"/>
      <c r="L22" s="4"/>
      <c r="M22" s="4"/>
      <c r="N22" s="4"/>
      <c r="O22" s="4"/>
    </row>
    <row r="23" spans="1:15" ht="16" thickBot="1" x14ac:dyDescent="0.25">
      <c r="A23" s="4">
        <f>A21+1</f>
        <v>11</v>
      </c>
      <c r="B23" s="53" t="s">
        <v>144</v>
      </c>
      <c r="C23" s="67"/>
      <c r="D23" s="51"/>
      <c r="E23" s="40" t="s">
        <v>29</v>
      </c>
      <c r="F23" s="70" t="s">
        <v>30</v>
      </c>
      <c r="G23" s="38">
        <v>3</v>
      </c>
      <c r="H23" s="40" t="s">
        <v>51</v>
      </c>
      <c r="I23" s="40"/>
      <c r="J23" s="4"/>
      <c r="K23" s="4"/>
      <c r="L23" s="4"/>
      <c r="M23" s="4"/>
      <c r="N23" s="4"/>
      <c r="O23" s="4"/>
    </row>
    <row r="24" spans="1:15" x14ac:dyDescent="0.2">
      <c r="A24" s="4"/>
      <c r="B24" s="53"/>
      <c r="C24" s="67"/>
      <c r="D24" s="52"/>
      <c r="E24" s="40"/>
      <c r="F24" s="70"/>
      <c r="G24" s="39"/>
      <c r="H24" s="40"/>
      <c r="I24" s="40"/>
      <c r="J24" s="4"/>
      <c r="K24" s="4"/>
      <c r="L24" s="4"/>
      <c r="M24" s="4"/>
      <c r="N24" s="4"/>
      <c r="O24" s="4"/>
    </row>
    <row r="25" spans="1:15" ht="16" thickBot="1" x14ac:dyDescent="0.25">
      <c r="A25" s="4">
        <f>A23+1</f>
        <v>12</v>
      </c>
      <c r="B25" s="40" t="s">
        <v>146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6" thickBot="1" x14ac:dyDescent="0.25">
      <c r="A26" s="4"/>
      <c r="B26" s="202" t="s">
        <v>62</v>
      </c>
      <c r="C26" s="204" t="s">
        <v>36</v>
      </c>
      <c r="D26" s="204"/>
      <c r="E26" s="20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29" thickBot="1" x14ac:dyDescent="0.25">
      <c r="A27" s="4"/>
      <c r="B27" s="203"/>
      <c r="C27" s="71" t="s">
        <v>33</v>
      </c>
      <c r="D27" s="71" t="s">
        <v>34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">
      <c r="A28" s="4"/>
      <c r="B28" s="20" t="s">
        <v>40</v>
      </c>
      <c r="C28" s="72"/>
      <c r="D28" s="72"/>
      <c r="E28" s="4"/>
      <c r="F28" s="4" t="s">
        <v>248</v>
      </c>
      <c r="G28" s="4"/>
      <c r="H28" s="4"/>
      <c r="I28" s="4"/>
      <c r="J28" s="4"/>
      <c r="K28" s="4"/>
      <c r="L28" s="4"/>
      <c r="M28" s="4"/>
      <c r="N28" s="4"/>
      <c r="O28" s="4"/>
    </row>
    <row r="29" spans="1:15" ht="16" thickBot="1" x14ac:dyDescent="0.25">
      <c r="A29" s="4"/>
      <c r="B29" s="73" t="s">
        <v>39</v>
      </c>
      <c r="C29" s="74"/>
      <c r="D29" s="7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6" thickBo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6" thickBot="1" x14ac:dyDescent="0.25">
      <c r="A31" s="4">
        <f>A25+1</f>
        <v>13</v>
      </c>
      <c r="B31" s="40" t="s">
        <v>147</v>
      </c>
      <c r="C31" s="4"/>
      <c r="D31" s="31" t="s">
        <v>249</v>
      </c>
      <c r="E31" s="40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16" thickBot="1" x14ac:dyDescent="0.25">
      <c r="A32" s="4"/>
      <c r="B32" s="1" t="s">
        <v>41</v>
      </c>
      <c r="C32" s="4"/>
      <c r="D32" s="31"/>
      <c r="E32" s="1" t="s">
        <v>48</v>
      </c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6" thickBot="1" x14ac:dyDescent="0.25">
      <c r="A33" s="4"/>
      <c r="B33" s="1" t="s">
        <v>42</v>
      </c>
      <c r="C33" s="4"/>
      <c r="D33" s="31"/>
      <c r="E33" s="1" t="s">
        <v>49</v>
      </c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6" thickBot="1" x14ac:dyDescent="0.25">
      <c r="A34" s="4"/>
      <c r="B34" s="1"/>
      <c r="C34" s="4"/>
      <c r="D34" s="6"/>
      <c r="E34" s="1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6" thickBot="1" x14ac:dyDescent="0.25">
      <c r="A35" s="4">
        <f>A31+1</f>
        <v>14</v>
      </c>
      <c r="B35" s="40" t="s">
        <v>147</v>
      </c>
      <c r="C35" s="4"/>
      <c r="D35" s="31" t="s">
        <v>249</v>
      </c>
      <c r="E35" s="40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6" thickBot="1" x14ac:dyDescent="0.25">
      <c r="A36" s="4"/>
      <c r="B36" s="1" t="s">
        <v>132</v>
      </c>
      <c r="C36" s="4"/>
      <c r="D36" s="31"/>
      <c r="E36" s="1" t="s">
        <v>134</v>
      </c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6" thickBot="1" x14ac:dyDescent="0.25">
      <c r="A37" s="4"/>
      <c r="B37" s="1" t="s">
        <v>133</v>
      </c>
      <c r="C37" s="4"/>
      <c r="D37" s="31"/>
      <c r="E37" s="1" t="s">
        <v>134</v>
      </c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53" t="s">
        <v>250</v>
      </c>
      <c r="C39" s="67"/>
      <c r="D39" s="52"/>
      <c r="E39" s="40"/>
      <c r="F39" s="70"/>
      <c r="G39" s="39"/>
      <c r="H39" s="40"/>
      <c r="I39" s="40"/>
      <c r="J39" s="4"/>
      <c r="K39" s="4"/>
      <c r="L39" s="4"/>
      <c r="M39" s="4"/>
      <c r="N39" s="4"/>
      <c r="O39" s="4"/>
    </row>
    <row r="40" spans="1:15" x14ac:dyDescent="0.2">
      <c r="A40" s="4">
        <f>A35+1</f>
        <v>15</v>
      </c>
      <c r="B40" s="199" t="s">
        <v>145</v>
      </c>
      <c r="C40" s="199"/>
      <c r="D40" s="19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6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91" thickBot="1" x14ac:dyDescent="0.25">
      <c r="A42" s="4"/>
      <c r="B42" s="200" t="s">
        <v>31</v>
      </c>
      <c r="C42" s="201"/>
      <c r="D42" s="75" t="s">
        <v>38</v>
      </c>
      <c r="E42" s="24" t="s">
        <v>64</v>
      </c>
      <c r="F42" s="24" t="s">
        <v>337</v>
      </c>
      <c r="G42" s="24" t="s">
        <v>52</v>
      </c>
      <c r="H42" s="29" t="s">
        <v>126</v>
      </c>
      <c r="I42" s="29" t="s">
        <v>127</v>
      </c>
      <c r="J42" s="29" t="s">
        <v>131</v>
      </c>
      <c r="K42" s="29" t="s">
        <v>129</v>
      </c>
      <c r="L42" s="29" t="s">
        <v>128</v>
      </c>
      <c r="M42" s="29" t="s">
        <v>130</v>
      </c>
      <c r="N42" s="4"/>
      <c r="O42" s="4"/>
    </row>
    <row r="43" spans="1:15" ht="16" thickBot="1" x14ac:dyDescent="0.25">
      <c r="A43" s="4"/>
      <c r="B43" s="76" t="s">
        <v>125</v>
      </c>
      <c r="C43" s="77" t="s">
        <v>32</v>
      </c>
      <c r="D43" s="77"/>
      <c r="E43" s="77"/>
      <c r="F43" s="139"/>
      <c r="G43" s="77"/>
      <c r="H43" s="31"/>
      <c r="I43" s="31"/>
      <c r="J43" s="31"/>
      <c r="K43" s="31"/>
      <c r="L43" s="31"/>
      <c r="M43" s="31"/>
      <c r="N43" s="4"/>
      <c r="O43" s="4"/>
    </row>
    <row r="44" spans="1:15" ht="16" thickBot="1" x14ac:dyDescent="0.25">
      <c r="A44" s="4"/>
      <c r="B44" s="78" t="s">
        <v>53</v>
      </c>
      <c r="C44" s="79">
        <v>2</v>
      </c>
      <c r="D44" s="79">
        <v>8</v>
      </c>
      <c r="E44" s="79">
        <v>220</v>
      </c>
      <c r="F44" s="140">
        <f>F72</f>
        <v>8688.9833333333499</v>
      </c>
      <c r="G44" s="79" t="s">
        <v>249</v>
      </c>
      <c r="H44" s="31"/>
      <c r="I44" s="31">
        <v>1</v>
      </c>
      <c r="J44" s="31" t="s">
        <v>339</v>
      </c>
      <c r="K44" s="31"/>
      <c r="L44" s="31"/>
      <c r="M44" s="136">
        <f>C44*F44*12</f>
        <v>208535.60000000038</v>
      </c>
      <c r="N44" s="4"/>
      <c r="O44" s="4"/>
    </row>
    <row r="45" spans="1:15" ht="16" thickBot="1" x14ac:dyDescent="0.25">
      <c r="A45" s="4"/>
      <c r="B45" s="78" t="s">
        <v>54</v>
      </c>
      <c r="C45" s="79">
        <v>1</v>
      </c>
      <c r="D45" s="79">
        <v>8</v>
      </c>
      <c r="E45" s="79">
        <v>220</v>
      </c>
      <c r="F45" s="140">
        <f>F65</f>
        <v>17166.669999999998</v>
      </c>
      <c r="G45" s="79" t="s">
        <v>249</v>
      </c>
      <c r="H45" s="31"/>
      <c r="I45" s="31">
        <v>3</v>
      </c>
      <c r="J45" s="31" t="s">
        <v>339</v>
      </c>
      <c r="K45" s="31"/>
      <c r="L45" s="31"/>
      <c r="M45" s="136">
        <f t="shared" ref="M45:M49" si="0">C45*F45*12</f>
        <v>206000.03999999998</v>
      </c>
      <c r="N45" s="4"/>
      <c r="O45" s="4"/>
    </row>
    <row r="46" spans="1:15" ht="16" thickBot="1" x14ac:dyDescent="0.25">
      <c r="A46" s="4"/>
      <c r="B46" s="78" t="s">
        <v>338</v>
      </c>
      <c r="C46" s="79">
        <v>3</v>
      </c>
      <c r="D46" s="79">
        <v>8</v>
      </c>
      <c r="E46" s="79">
        <v>220</v>
      </c>
      <c r="F46" s="140">
        <f>F69</f>
        <v>9123.3333333333339</v>
      </c>
      <c r="G46" s="79" t="s">
        <v>249</v>
      </c>
      <c r="H46" s="31"/>
      <c r="I46" s="31">
        <v>3</v>
      </c>
      <c r="J46" s="31" t="s">
        <v>339</v>
      </c>
      <c r="K46" s="31"/>
      <c r="L46" s="31"/>
      <c r="M46" s="136">
        <f t="shared" si="0"/>
        <v>328440</v>
      </c>
      <c r="N46" s="4"/>
      <c r="O46" s="4"/>
    </row>
    <row r="47" spans="1:15" ht="16" thickBot="1" x14ac:dyDescent="0.25">
      <c r="A47" s="4"/>
      <c r="B47" s="78" t="s">
        <v>355</v>
      </c>
      <c r="C47" s="79">
        <v>1</v>
      </c>
      <c r="D47" s="79">
        <v>4</v>
      </c>
      <c r="E47" s="79">
        <v>220</v>
      </c>
      <c r="F47" s="140">
        <f>F62</f>
        <v>9768.5784000000003</v>
      </c>
      <c r="G47" s="79" t="s">
        <v>249</v>
      </c>
      <c r="H47" s="31"/>
      <c r="I47" s="31">
        <v>4</v>
      </c>
      <c r="J47" s="31" t="s">
        <v>339</v>
      </c>
      <c r="K47" s="31"/>
      <c r="L47" s="31"/>
      <c r="M47" s="136">
        <f t="shared" si="0"/>
        <v>117222.94080000001</v>
      </c>
      <c r="N47" s="4"/>
      <c r="O47" s="4"/>
    </row>
    <row r="48" spans="1:15" ht="16" thickBot="1" x14ac:dyDescent="0.25">
      <c r="A48" s="4"/>
      <c r="B48" s="78" t="s">
        <v>107</v>
      </c>
      <c r="C48" s="79">
        <v>2</v>
      </c>
      <c r="D48" s="79">
        <v>8</v>
      </c>
      <c r="E48" s="79">
        <v>220</v>
      </c>
      <c r="F48" s="140">
        <f>F68</f>
        <v>7820</v>
      </c>
      <c r="G48" s="79" t="s">
        <v>249</v>
      </c>
      <c r="H48" s="31"/>
      <c r="I48" s="31">
        <v>3</v>
      </c>
      <c r="J48" s="31" t="s">
        <v>339</v>
      </c>
      <c r="K48" s="31"/>
      <c r="L48" s="31"/>
      <c r="M48" s="136">
        <f t="shared" si="0"/>
        <v>187680</v>
      </c>
      <c r="N48" s="4"/>
      <c r="O48" s="4"/>
    </row>
    <row r="49" spans="1:15" ht="16" thickBot="1" x14ac:dyDescent="0.25">
      <c r="A49" s="4"/>
      <c r="B49" s="78" t="s">
        <v>348</v>
      </c>
      <c r="C49" s="79">
        <v>5</v>
      </c>
      <c r="D49" s="79">
        <v>8</v>
      </c>
      <c r="E49" s="79">
        <v>220</v>
      </c>
      <c r="F49" s="140">
        <v>2000</v>
      </c>
      <c r="G49" s="79" t="s">
        <v>249</v>
      </c>
      <c r="H49" s="31"/>
      <c r="I49" s="31">
        <v>3</v>
      </c>
      <c r="J49" s="31" t="s">
        <v>339</v>
      </c>
      <c r="K49" s="31"/>
      <c r="L49" s="31"/>
      <c r="M49" s="136">
        <f t="shared" si="0"/>
        <v>120000</v>
      </c>
      <c r="N49" s="4"/>
      <c r="O49" s="4"/>
    </row>
    <row r="50" spans="1:15" x14ac:dyDescent="0.2">
      <c r="A50" s="4"/>
      <c r="B50" s="80"/>
      <c r="C50" s="81"/>
      <c r="D50" s="8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109" t="s">
        <v>268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109" t="s">
        <v>270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B53" s="110" t="s">
        <v>269</v>
      </c>
    </row>
    <row r="54" spans="1:15" x14ac:dyDescent="0.2">
      <c r="B54" s="109" t="s">
        <v>271</v>
      </c>
    </row>
    <row r="56" spans="1:15" x14ac:dyDescent="0.2">
      <c r="B56" s="112" t="s">
        <v>272</v>
      </c>
      <c r="C56" s="112" t="s">
        <v>273</v>
      </c>
      <c r="D56" s="112" t="s">
        <v>274</v>
      </c>
      <c r="E56" s="112" t="s">
        <v>275</v>
      </c>
      <c r="F56" s="112" t="s">
        <v>276</v>
      </c>
      <c r="G56" s="112" t="s">
        <v>277</v>
      </c>
      <c r="H56" s="113" t="s">
        <v>278</v>
      </c>
      <c r="I56" s="113" t="s">
        <v>279</v>
      </c>
    </row>
    <row r="57" spans="1:15" ht="30" x14ac:dyDescent="0.2">
      <c r="B57" s="115" t="s">
        <v>280</v>
      </c>
      <c r="C57" s="115" t="s">
        <v>281</v>
      </c>
      <c r="D57" s="115" t="s">
        <v>282</v>
      </c>
      <c r="E57" s="116">
        <v>397.80424038461535</v>
      </c>
      <c r="F57" s="137"/>
      <c r="G57" s="117">
        <v>0.2</v>
      </c>
      <c r="H57" s="112">
        <v>16</v>
      </c>
      <c r="I57" s="112">
        <v>18</v>
      </c>
    </row>
    <row r="58" spans="1:15" ht="30" x14ac:dyDescent="0.2">
      <c r="B58" s="115" t="s">
        <v>283</v>
      </c>
      <c r="C58" s="115" t="s">
        <v>284</v>
      </c>
      <c r="D58" s="115" t="s">
        <v>285</v>
      </c>
      <c r="E58" s="116">
        <v>230.06925432692307</v>
      </c>
      <c r="F58" s="137"/>
      <c r="G58" s="117">
        <v>0.05</v>
      </c>
      <c r="H58" s="112">
        <v>0</v>
      </c>
      <c r="I58" s="112">
        <v>18</v>
      </c>
    </row>
    <row r="59" spans="1:15" x14ac:dyDescent="0.2">
      <c r="B59" s="115" t="s">
        <v>286</v>
      </c>
      <c r="C59" s="115" t="s">
        <v>287</v>
      </c>
      <c r="D59" s="115" t="s">
        <v>288</v>
      </c>
      <c r="E59" s="116">
        <v>174.78219735865383</v>
      </c>
      <c r="F59" s="137"/>
      <c r="G59" s="117">
        <v>0.2</v>
      </c>
      <c r="H59" s="112">
        <v>40</v>
      </c>
      <c r="I59" s="112">
        <v>40</v>
      </c>
    </row>
    <row r="60" spans="1:15" x14ac:dyDescent="0.2">
      <c r="B60" s="115" t="s">
        <v>289</v>
      </c>
      <c r="C60" s="115" t="s">
        <v>290</v>
      </c>
      <c r="D60" s="115" t="s">
        <v>291</v>
      </c>
      <c r="E60" s="116">
        <v>144.64174311778845</v>
      </c>
      <c r="F60" s="137"/>
      <c r="G60" s="117">
        <v>0.1</v>
      </c>
      <c r="H60" s="112">
        <v>40</v>
      </c>
      <c r="I60" s="112">
        <v>40</v>
      </c>
    </row>
    <row r="61" spans="1:15" x14ac:dyDescent="0.2">
      <c r="B61" s="115" t="s">
        <v>292</v>
      </c>
      <c r="C61" s="115" t="s">
        <v>293</v>
      </c>
      <c r="D61" s="115" t="s">
        <v>294</v>
      </c>
      <c r="E61" s="116">
        <v>78.888874326923073</v>
      </c>
      <c r="F61" s="137"/>
      <c r="G61" s="117">
        <v>0.2</v>
      </c>
      <c r="H61" s="112">
        <v>40</v>
      </c>
      <c r="I61" s="112">
        <v>40</v>
      </c>
    </row>
    <row r="62" spans="1:15" x14ac:dyDescent="0.2">
      <c r="B62" s="115" t="s">
        <v>297</v>
      </c>
      <c r="C62" s="115" t="s">
        <v>298</v>
      </c>
      <c r="D62" s="115" t="s">
        <v>299</v>
      </c>
      <c r="E62" s="116">
        <v>61.053615000000001</v>
      </c>
      <c r="F62" s="137">
        <f>E62*40*4</f>
        <v>9768.5784000000003</v>
      </c>
      <c r="G62" s="127">
        <v>0.5</v>
      </c>
      <c r="H62" s="112">
        <v>0</v>
      </c>
      <c r="I62" s="112">
        <v>0</v>
      </c>
    </row>
    <row r="63" spans="1:15" x14ac:dyDescent="0.2">
      <c r="B63" s="115" t="s">
        <v>300</v>
      </c>
      <c r="C63" s="115" t="s">
        <v>301</v>
      </c>
      <c r="D63" s="115" t="s">
        <v>302</v>
      </c>
      <c r="E63" s="116">
        <v>36.509167211538461</v>
      </c>
      <c r="F63" s="137">
        <f>E63*40*4</f>
        <v>5841.4667538461536</v>
      </c>
      <c r="G63" s="117">
        <v>1</v>
      </c>
      <c r="H63" s="112">
        <v>0</v>
      </c>
      <c r="I63" s="112">
        <v>0</v>
      </c>
    </row>
    <row r="64" spans="1:15" x14ac:dyDescent="0.2">
      <c r="B64" s="115"/>
      <c r="C64" s="115"/>
      <c r="D64" s="115"/>
      <c r="E64" s="128"/>
      <c r="F64" s="137"/>
      <c r="G64" s="112"/>
      <c r="H64" s="112"/>
      <c r="I64" s="112"/>
    </row>
    <row r="65" spans="2:9" x14ac:dyDescent="0.2">
      <c r="B65" s="115" t="s">
        <v>303</v>
      </c>
      <c r="C65" s="115" t="s">
        <v>304</v>
      </c>
      <c r="D65" s="115" t="s">
        <v>305</v>
      </c>
      <c r="E65" s="112"/>
      <c r="F65" s="138">
        <v>17166.669999999998</v>
      </c>
      <c r="G65" s="117">
        <v>1</v>
      </c>
      <c r="H65" s="112"/>
      <c r="I65" s="112"/>
    </row>
    <row r="66" spans="2:9" ht="30" x14ac:dyDescent="0.2">
      <c r="B66" s="115" t="s">
        <v>306</v>
      </c>
      <c r="C66" s="115" t="s">
        <v>307</v>
      </c>
      <c r="D66" s="115" t="s">
        <v>308</v>
      </c>
      <c r="E66" s="112"/>
      <c r="F66" s="138">
        <v>7820</v>
      </c>
      <c r="G66" s="117">
        <v>1</v>
      </c>
      <c r="H66" s="112"/>
      <c r="I66" s="112"/>
    </row>
    <row r="67" spans="2:9" x14ac:dyDescent="0.2">
      <c r="B67" s="115" t="s">
        <v>309</v>
      </c>
      <c r="C67" s="130" t="s">
        <v>310</v>
      </c>
      <c r="D67" s="130" t="s">
        <v>311</v>
      </c>
      <c r="E67" s="112"/>
      <c r="F67" s="138">
        <v>7820</v>
      </c>
      <c r="G67" s="117">
        <v>1</v>
      </c>
      <c r="H67" s="112"/>
      <c r="I67" s="112"/>
    </row>
    <row r="68" spans="2:9" x14ac:dyDescent="0.2">
      <c r="B68" s="115" t="s">
        <v>312</v>
      </c>
      <c r="C68" s="130" t="s">
        <v>290</v>
      </c>
      <c r="D68" s="130" t="s">
        <v>313</v>
      </c>
      <c r="E68" s="112"/>
      <c r="F68" s="138">
        <v>7820</v>
      </c>
      <c r="G68" s="117">
        <v>1</v>
      </c>
      <c r="H68" s="112"/>
      <c r="I68" s="112"/>
    </row>
    <row r="69" spans="2:9" x14ac:dyDescent="0.2">
      <c r="B69" s="115" t="s">
        <v>314</v>
      </c>
      <c r="C69" s="115" t="s">
        <v>315</v>
      </c>
      <c r="D69" s="115" t="s">
        <v>316</v>
      </c>
      <c r="E69" s="112"/>
      <c r="F69" s="138">
        <v>9123.3333333333339</v>
      </c>
      <c r="G69" s="117">
        <v>1</v>
      </c>
      <c r="H69" s="112"/>
      <c r="I69" s="112"/>
    </row>
    <row r="70" spans="2:9" ht="30" x14ac:dyDescent="0.2">
      <c r="B70" s="115" t="s">
        <v>317</v>
      </c>
      <c r="C70" s="115" t="s">
        <v>318</v>
      </c>
      <c r="D70" s="115" t="s">
        <v>319</v>
      </c>
      <c r="E70" s="112"/>
      <c r="F70" s="138">
        <v>9123.3333333333339</v>
      </c>
      <c r="G70" s="117">
        <v>1</v>
      </c>
      <c r="H70" s="112"/>
      <c r="I70" s="112"/>
    </row>
    <row r="71" spans="2:9" x14ac:dyDescent="0.2">
      <c r="B71" s="115" t="s">
        <v>320</v>
      </c>
      <c r="C71" s="115" t="s">
        <v>321</v>
      </c>
      <c r="D71" s="115" t="s">
        <v>322</v>
      </c>
      <c r="E71" s="112"/>
      <c r="F71" s="138">
        <v>9123.3333333333339</v>
      </c>
      <c r="G71" s="117">
        <v>1</v>
      </c>
      <c r="H71" s="112"/>
      <c r="I71" s="112"/>
    </row>
    <row r="72" spans="2:9" ht="30" x14ac:dyDescent="0.2">
      <c r="B72" s="115" t="s">
        <v>323</v>
      </c>
      <c r="C72" s="115" t="s">
        <v>324</v>
      </c>
      <c r="D72" s="115" t="s">
        <v>325</v>
      </c>
      <c r="E72" s="112"/>
      <c r="F72" s="138">
        <v>8688.9833333333499</v>
      </c>
      <c r="G72" s="117">
        <v>1</v>
      </c>
      <c r="H72" s="112"/>
      <c r="I72" s="112"/>
    </row>
    <row r="73" spans="2:9" ht="30" x14ac:dyDescent="0.2">
      <c r="B73" s="115" t="s">
        <v>326</v>
      </c>
      <c r="C73" s="115" t="s">
        <v>327</v>
      </c>
      <c r="D73" s="115" t="s">
        <v>328</v>
      </c>
      <c r="E73" s="112"/>
      <c r="F73" s="138">
        <v>8688.9833333333499</v>
      </c>
      <c r="G73" s="117">
        <v>1</v>
      </c>
      <c r="H73" s="112"/>
      <c r="I73" s="112"/>
    </row>
  </sheetData>
  <mergeCells count="4">
    <mergeCell ref="B40:D40"/>
    <mergeCell ref="B42:C42"/>
    <mergeCell ref="B26:B27"/>
    <mergeCell ref="C26:E2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B8" workbookViewId="0">
      <selection activeCell="J22" sqref="J22"/>
    </sheetView>
  </sheetViews>
  <sheetFormatPr baseColWidth="10" defaultColWidth="8.83203125" defaultRowHeight="15" x14ac:dyDescent="0.2"/>
  <cols>
    <col min="2" max="2" width="61.1640625" customWidth="1"/>
    <col min="3" max="3" width="13" customWidth="1"/>
    <col min="4" max="4" width="12.6640625" customWidth="1"/>
    <col min="5" max="5" width="13" customWidth="1"/>
    <col min="6" max="6" width="12.5" customWidth="1"/>
    <col min="7" max="8" width="12.6640625" customWidth="1"/>
    <col min="9" max="9" width="18.5" style="9" customWidth="1"/>
    <col min="10" max="10" width="17.1640625" style="9" customWidth="1"/>
    <col min="11" max="11" width="9.1640625" hidden="1" customWidth="1"/>
  </cols>
  <sheetData>
    <row r="1" spans="1:17" x14ac:dyDescent="0.2">
      <c r="A1" s="1" t="s">
        <v>135</v>
      </c>
      <c r="B1" s="1" t="s">
        <v>110</v>
      </c>
      <c r="C1" s="1"/>
      <c r="D1" s="1"/>
      <c r="E1" s="1"/>
      <c r="F1" s="1"/>
      <c r="G1" s="1"/>
      <c r="H1" s="1"/>
      <c r="I1" s="143"/>
      <c r="J1" s="143"/>
      <c r="K1" s="1"/>
      <c r="L1" s="1"/>
      <c r="M1" s="1"/>
      <c r="N1" s="1"/>
      <c r="O1" s="1"/>
      <c r="P1" s="1"/>
      <c r="Q1" s="1"/>
    </row>
    <row r="2" spans="1:17" x14ac:dyDescent="0.2">
      <c r="A2" s="1"/>
      <c r="B2" s="1"/>
      <c r="C2" s="1"/>
      <c r="D2" s="1"/>
      <c r="E2" s="1"/>
      <c r="F2" s="1"/>
      <c r="G2" s="1"/>
      <c r="H2" s="1"/>
      <c r="I2" s="143"/>
      <c r="J2" s="143"/>
      <c r="K2" s="1"/>
      <c r="L2" s="1"/>
      <c r="M2" s="1"/>
      <c r="N2" s="1"/>
      <c r="O2" s="1"/>
      <c r="P2" s="1"/>
      <c r="Q2" s="1"/>
    </row>
    <row r="3" spans="1:17" x14ac:dyDescent="0.2">
      <c r="A3" s="1"/>
      <c r="B3" s="1" t="s">
        <v>14</v>
      </c>
      <c r="C3">
        <v>5</v>
      </c>
      <c r="D3" s="1"/>
      <c r="E3" s="1"/>
      <c r="F3" s="1"/>
      <c r="G3" s="1"/>
      <c r="H3" s="1"/>
      <c r="I3" s="143"/>
      <c r="J3" s="143"/>
      <c r="K3" s="1"/>
      <c r="L3" s="1"/>
      <c r="M3" s="1"/>
      <c r="N3" s="1"/>
      <c r="O3" s="1"/>
      <c r="P3" s="1"/>
      <c r="Q3" s="1"/>
    </row>
    <row r="4" spans="1:17" x14ac:dyDescent="0.2">
      <c r="A4" s="1"/>
      <c r="B4" s="1" t="s">
        <v>13</v>
      </c>
      <c r="C4" s="7">
        <v>0.03</v>
      </c>
      <c r="D4" s="1"/>
      <c r="E4" s="1"/>
      <c r="F4" s="1"/>
      <c r="G4" s="1"/>
      <c r="H4" s="1"/>
      <c r="I4" s="143"/>
      <c r="J4" s="143"/>
      <c r="K4" s="1"/>
      <c r="L4" s="1"/>
      <c r="M4" s="1"/>
      <c r="N4" s="1"/>
      <c r="O4" s="1"/>
      <c r="P4" s="1"/>
      <c r="Q4" s="1"/>
    </row>
    <row r="5" spans="1:17" x14ac:dyDescent="0.2">
      <c r="A5" s="1"/>
      <c r="B5" s="1" t="s">
        <v>12</v>
      </c>
      <c r="C5" s="8">
        <v>4.58</v>
      </c>
      <c r="D5" s="1"/>
      <c r="E5" s="1"/>
      <c r="F5" s="1"/>
      <c r="G5" s="1"/>
      <c r="H5" s="1"/>
      <c r="I5" s="143"/>
      <c r="J5" s="143"/>
      <c r="K5" s="1"/>
      <c r="L5" s="1"/>
      <c r="M5" s="1"/>
      <c r="N5" s="1"/>
      <c r="O5" s="1"/>
      <c r="P5" s="1"/>
      <c r="Q5" s="1"/>
    </row>
    <row r="6" spans="1:17" x14ac:dyDescent="0.2">
      <c r="A6" s="1"/>
      <c r="B6" s="1" t="s">
        <v>18</v>
      </c>
      <c r="C6">
        <v>6.81</v>
      </c>
      <c r="D6" s="1"/>
      <c r="E6" s="1"/>
      <c r="F6" s="1"/>
      <c r="G6" s="1"/>
      <c r="H6" s="1"/>
      <c r="I6" s="143"/>
      <c r="J6" s="143"/>
      <c r="K6" s="1"/>
      <c r="L6" s="1"/>
      <c r="M6" s="1"/>
      <c r="N6" s="1"/>
      <c r="O6" s="1"/>
      <c r="P6" s="1"/>
      <c r="Q6" s="1"/>
    </row>
    <row r="7" spans="1:17" x14ac:dyDescent="0.2">
      <c r="A7" s="1"/>
      <c r="B7" s="1"/>
      <c r="C7" s="1"/>
      <c r="D7" s="1"/>
      <c r="E7" s="1"/>
      <c r="F7" s="1"/>
      <c r="G7" s="1"/>
      <c r="H7" s="1"/>
      <c r="I7" s="143"/>
      <c r="J7" s="143"/>
      <c r="K7" s="1"/>
      <c r="L7" s="1"/>
      <c r="M7" s="1"/>
      <c r="N7" s="1"/>
      <c r="O7" s="1"/>
      <c r="P7" s="1"/>
      <c r="Q7" s="1"/>
    </row>
    <row r="8" spans="1:17" ht="16" thickBot="1" x14ac:dyDescent="0.25">
      <c r="B8" s="36" t="s">
        <v>456</v>
      </c>
      <c r="C8" s="36"/>
      <c r="D8" s="36"/>
      <c r="E8" s="36"/>
      <c r="F8" s="36"/>
      <c r="G8" s="36"/>
      <c r="H8" s="36"/>
      <c r="I8" s="147"/>
      <c r="J8" s="147"/>
      <c r="K8" s="36"/>
      <c r="L8" s="1"/>
      <c r="M8" s="1"/>
      <c r="N8" s="1"/>
      <c r="O8" s="1"/>
      <c r="P8" s="1"/>
      <c r="Q8" s="1"/>
    </row>
    <row r="9" spans="1:17" ht="61" thickBot="1" x14ac:dyDescent="0.25">
      <c r="B9" s="89" t="s">
        <v>252</v>
      </c>
      <c r="C9" s="90" t="s">
        <v>251</v>
      </c>
      <c r="D9" s="90" t="s">
        <v>111</v>
      </c>
      <c r="E9" s="90" t="s">
        <v>112</v>
      </c>
      <c r="F9" s="90" t="s">
        <v>118</v>
      </c>
      <c r="G9" s="90" t="s">
        <v>113</v>
      </c>
      <c r="H9" s="90" t="s">
        <v>189</v>
      </c>
      <c r="I9" s="148" t="s">
        <v>340</v>
      </c>
      <c r="J9" s="148" t="s">
        <v>341</v>
      </c>
      <c r="K9" s="1"/>
      <c r="L9" s="1"/>
      <c r="M9" s="1"/>
      <c r="N9" s="1"/>
      <c r="O9" s="1"/>
    </row>
    <row r="10" spans="1:17" ht="16" thickBot="1" x14ac:dyDescent="0.25">
      <c r="A10">
        <v>1</v>
      </c>
      <c r="B10" s="141" t="s">
        <v>342</v>
      </c>
      <c r="C10" s="92"/>
      <c r="D10" s="91"/>
      <c r="E10" s="91"/>
      <c r="F10" s="93"/>
      <c r="G10" s="91"/>
      <c r="H10" s="99">
        <f>C10/C5</f>
        <v>0</v>
      </c>
      <c r="I10" s="141">
        <v>2300.06</v>
      </c>
      <c r="J10" s="141">
        <v>27600.71</v>
      </c>
      <c r="K10" s="1"/>
      <c r="L10" s="1"/>
      <c r="M10" s="1"/>
      <c r="N10" s="1"/>
      <c r="O10" s="1"/>
    </row>
    <row r="11" spans="1:17" ht="16" thickBot="1" x14ac:dyDescent="0.25">
      <c r="A11">
        <f>A10+1</f>
        <v>2</v>
      </c>
      <c r="B11" s="141" t="s">
        <v>361</v>
      </c>
      <c r="C11" s="92"/>
      <c r="D11" s="91"/>
      <c r="E11" s="91"/>
      <c r="F11" s="93"/>
      <c r="G11" s="91"/>
      <c r="H11" s="91"/>
      <c r="I11" s="141">
        <v>2300.06</v>
      </c>
      <c r="J11" s="141">
        <v>27600.71</v>
      </c>
      <c r="K11" s="1"/>
      <c r="L11" s="1"/>
      <c r="M11" s="1"/>
      <c r="N11" s="1"/>
      <c r="O11" s="1"/>
    </row>
    <row r="12" spans="1:17" ht="16" thickBot="1" x14ac:dyDescent="0.25">
      <c r="A12">
        <f t="shared" ref="A12:A15" si="0">A11+1</f>
        <v>3</v>
      </c>
      <c r="B12" s="141" t="s">
        <v>362</v>
      </c>
      <c r="C12" s="92"/>
      <c r="D12" s="91"/>
      <c r="E12" s="91"/>
      <c r="F12" s="93"/>
      <c r="G12" s="91"/>
      <c r="H12" s="91"/>
      <c r="I12" s="141">
        <v>2300.06</v>
      </c>
      <c r="J12" s="141">
        <v>27600.71</v>
      </c>
      <c r="K12" s="1"/>
      <c r="L12" s="1"/>
      <c r="M12" s="1"/>
      <c r="N12" s="1"/>
      <c r="O12" s="1"/>
    </row>
    <row r="13" spans="1:17" ht="16" thickBot="1" x14ac:dyDescent="0.25">
      <c r="A13">
        <f t="shared" si="0"/>
        <v>4</v>
      </c>
      <c r="B13" s="32"/>
      <c r="C13" s="92"/>
      <c r="D13" s="91"/>
      <c r="E13" s="91"/>
      <c r="F13" s="93"/>
      <c r="G13" s="91"/>
      <c r="H13" s="91"/>
      <c r="I13" s="149"/>
      <c r="J13" s="149"/>
      <c r="K13" s="1"/>
      <c r="L13" s="1"/>
      <c r="M13" s="1"/>
      <c r="N13" s="1"/>
      <c r="O13" s="1"/>
    </row>
    <row r="14" spans="1:17" ht="16" thickBot="1" x14ac:dyDescent="0.25">
      <c r="A14">
        <f t="shared" si="0"/>
        <v>5</v>
      </c>
      <c r="B14" s="32"/>
      <c r="C14" s="92"/>
      <c r="D14" s="91"/>
      <c r="E14" s="91"/>
      <c r="F14" s="93"/>
      <c r="G14" s="91"/>
      <c r="H14" s="91"/>
      <c r="I14" s="149"/>
      <c r="J14" s="149"/>
      <c r="K14" s="1"/>
      <c r="L14" s="1"/>
      <c r="M14" s="1"/>
      <c r="N14" s="1"/>
      <c r="O14" s="1"/>
    </row>
    <row r="15" spans="1:17" ht="16" thickBot="1" x14ac:dyDescent="0.25">
      <c r="A15">
        <f t="shared" si="0"/>
        <v>6</v>
      </c>
      <c r="B15" s="32"/>
      <c r="C15" s="92"/>
      <c r="D15" s="91"/>
      <c r="E15" s="91"/>
      <c r="F15" s="93"/>
      <c r="G15" s="91"/>
      <c r="H15" s="91"/>
      <c r="I15" s="149"/>
      <c r="J15" s="149"/>
      <c r="K15" s="1"/>
      <c r="L15" s="1"/>
      <c r="M15" s="1"/>
      <c r="N15" s="1"/>
      <c r="O15" s="1"/>
    </row>
    <row r="16" spans="1:17" ht="16" thickBot="1" x14ac:dyDescent="0.25">
      <c r="B16" s="88" t="s">
        <v>192</v>
      </c>
      <c r="C16" s="87"/>
      <c r="D16" s="87"/>
      <c r="E16" s="87"/>
      <c r="F16" s="85"/>
      <c r="G16" s="85"/>
      <c r="H16" s="91"/>
      <c r="I16" s="149">
        <f>SUM(I10:I15)</f>
        <v>6900.18</v>
      </c>
      <c r="J16" s="149">
        <f>SUM(J10:J15)</f>
        <v>82802.13</v>
      </c>
      <c r="K16" s="86"/>
      <c r="L16" s="1"/>
      <c r="M16" s="1"/>
      <c r="N16" s="1"/>
      <c r="O16" s="1"/>
      <c r="P16" s="1"/>
      <c r="Q16" s="1"/>
    </row>
    <row r="17" spans="1:17" x14ac:dyDescent="0.2">
      <c r="B17" s="88"/>
      <c r="C17" s="87"/>
      <c r="D17" s="87"/>
      <c r="E17" s="87"/>
      <c r="F17" s="85"/>
      <c r="G17" s="85"/>
      <c r="H17" s="85"/>
      <c r="I17" s="150"/>
      <c r="J17" s="151"/>
      <c r="K17" s="86"/>
      <c r="L17" s="1"/>
      <c r="M17" s="1"/>
      <c r="N17" s="1"/>
      <c r="O17" s="1"/>
      <c r="P17" s="1"/>
      <c r="Q17" s="1"/>
    </row>
    <row r="18" spans="1:17" ht="16" thickBot="1" x14ac:dyDescent="0.25">
      <c r="B18" s="87" t="s">
        <v>114</v>
      </c>
      <c r="C18" s="87"/>
      <c r="D18" s="87"/>
      <c r="E18" s="87"/>
      <c r="F18" s="87"/>
      <c r="G18" s="87"/>
      <c r="H18" s="87"/>
      <c r="I18" s="151"/>
      <c r="J18" s="151"/>
      <c r="K18" s="36"/>
      <c r="L18" s="1"/>
      <c r="M18" s="1"/>
      <c r="N18" s="1"/>
      <c r="O18" s="1"/>
      <c r="P18" s="1"/>
      <c r="Q18" s="1"/>
    </row>
    <row r="19" spans="1:17" ht="61" thickBot="1" x14ac:dyDescent="0.25">
      <c r="A19">
        <f>A15+1</f>
        <v>7</v>
      </c>
      <c r="B19" s="89" t="s">
        <v>229</v>
      </c>
      <c r="C19" s="90" t="s">
        <v>368</v>
      </c>
      <c r="D19" s="90" t="s">
        <v>369</v>
      </c>
      <c r="E19" s="90" t="s">
        <v>115</v>
      </c>
      <c r="F19" s="90" t="s">
        <v>188</v>
      </c>
      <c r="G19" s="90" t="s">
        <v>187</v>
      </c>
      <c r="H19" s="90" t="s">
        <v>186</v>
      </c>
      <c r="I19" s="24" t="s">
        <v>190</v>
      </c>
      <c r="J19" s="205"/>
      <c r="K19" s="206"/>
      <c r="L19" s="1"/>
      <c r="M19" s="1"/>
      <c r="N19" s="1"/>
      <c r="O19" s="1"/>
      <c r="P19" s="1"/>
      <c r="Q19" s="1"/>
    </row>
    <row r="20" spans="1:17" ht="16" thickBot="1" x14ac:dyDescent="0.25">
      <c r="A20">
        <f>A19+1</f>
        <v>8</v>
      </c>
      <c r="B20" s="141" t="s">
        <v>342</v>
      </c>
      <c r="C20" s="91">
        <f>$C$34</f>
        <v>690</v>
      </c>
      <c r="D20" s="91">
        <v>44</v>
      </c>
      <c r="E20" s="95">
        <v>8</v>
      </c>
      <c r="F20" s="149">
        <v>10</v>
      </c>
      <c r="G20" s="91"/>
      <c r="H20" s="91"/>
      <c r="I20" s="149">
        <f>((C20*D20)/8)*F20</f>
        <v>37950</v>
      </c>
      <c r="J20" s="152"/>
      <c r="K20" s="152"/>
      <c r="L20" s="1"/>
      <c r="M20" s="1"/>
      <c r="N20" s="1"/>
      <c r="O20" s="1"/>
      <c r="P20" s="1"/>
      <c r="Q20" s="1"/>
    </row>
    <row r="21" spans="1:17" ht="16" thickBot="1" x14ac:dyDescent="0.25">
      <c r="A21">
        <f>A20+1</f>
        <v>9</v>
      </c>
      <c r="B21" s="141" t="s">
        <v>361</v>
      </c>
      <c r="C21" s="91">
        <f t="shared" ref="C21:C22" si="1">$C$34</f>
        <v>690</v>
      </c>
      <c r="D21" s="91">
        <v>44</v>
      </c>
      <c r="E21" s="95">
        <v>8</v>
      </c>
      <c r="F21" s="149">
        <v>10</v>
      </c>
      <c r="G21" s="91"/>
      <c r="H21" s="91"/>
      <c r="I21" s="149">
        <f t="shared" ref="I21:I22" si="2">((C21*D21)/8)*F21</f>
        <v>37950</v>
      </c>
      <c r="J21" s="147"/>
      <c r="K21" s="147"/>
      <c r="L21" s="1"/>
      <c r="M21" s="1"/>
      <c r="N21" s="1"/>
      <c r="O21" s="1"/>
      <c r="P21" s="1"/>
      <c r="Q21" s="1"/>
    </row>
    <row r="22" spans="1:17" ht="16" thickBot="1" x14ac:dyDescent="0.25">
      <c r="A22">
        <f t="shared" ref="A22:A24" si="3">A21+1</f>
        <v>10</v>
      </c>
      <c r="B22" s="141" t="s">
        <v>362</v>
      </c>
      <c r="C22" s="91">
        <f t="shared" si="1"/>
        <v>690</v>
      </c>
      <c r="D22" s="91">
        <v>44</v>
      </c>
      <c r="E22" s="95">
        <v>8</v>
      </c>
      <c r="F22" s="149">
        <v>10</v>
      </c>
      <c r="G22" s="91"/>
      <c r="H22" s="91"/>
      <c r="I22" s="149">
        <f t="shared" si="2"/>
        <v>37950</v>
      </c>
      <c r="J22" s="147"/>
      <c r="K22" s="147"/>
      <c r="L22" s="1"/>
      <c r="M22" s="1"/>
      <c r="N22" s="1"/>
      <c r="O22" s="1"/>
      <c r="P22" s="1"/>
      <c r="Q22" s="1"/>
    </row>
    <row r="23" spans="1:17" ht="16" thickBot="1" x14ac:dyDescent="0.25">
      <c r="A23">
        <f t="shared" si="3"/>
        <v>11</v>
      </c>
      <c r="B23" s="51"/>
      <c r="C23" s="91"/>
      <c r="D23" s="91"/>
      <c r="E23" s="51"/>
      <c r="F23" s="149"/>
      <c r="G23" s="91"/>
      <c r="H23" s="91"/>
      <c r="I23" s="149"/>
      <c r="J23" s="147"/>
      <c r="K23" s="147"/>
      <c r="L23" s="1"/>
      <c r="M23" s="1"/>
      <c r="N23" s="1"/>
      <c r="O23" s="1"/>
      <c r="P23" s="1"/>
      <c r="Q23" s="1"/>
    </row>
    <row r="24" spans="1:17" ht="16" thickBot="1" x14ac:dyDescent="0.25">
      <c r="A24">
        <f t="shared" si="3"/>
        <v>12</v>
      </c>
      <c r="B24" s="96"/>
      <c r="C24" s="91"/>
      <c r="D24" s="91"/>
      <c r="E24" s="51"/>
      <c r="F24" s="149"/>
      <c r="G24" s="91"/>
      <c r="H24" s="91"/>
      <c r="I24" s="149"/>
      <c r="J24" s="147"/>
      <c r="K24" s="147"/>
      <c r="L24" s="1"/>
      <c r="M24" s="1"/>
      <c r="N24" s="1"/>
      <c r="O24" s="1"/>
      <c r="P24" s="1"/>
      <c r="Q24" s="1"/>
    </row>
    <row r="25" spans="1:17" ht="16" thickBot="1" x14ac:dyDescent="0.25">
      <c r="B25" s="36" t="s">
        <v>192</v>
      </c>
      <c r="C25" s="36"/>
      <c r="D25" s="36"/>
      <c r="E25" s="36"/>
      <c r="F25" s="36"/>
      <c r="G25" s="36"/>
      <c r="H25" s="91"/>
      <c r="I25" s="147">
        <f>SUM(I20:I22)</f>
        <v>113850</v>
      </c>
      <c r="J25" s="147"/>
      <c r="K25" s="36"/>
      <c r="L25" s="1"/>
      <c r="M25" s="1"/>
      <c r="N25" s="1"/>
      <c r="O25" s="1"/>
      <c r="P25" s="1"/>
      <c r="Q25" s="1"/>
    </row>
    <row r="26" spans="1:17" x14ac:dyDescent="0.2">
      <c r="B26" s="36"/>
      <c r="C26" s="36"/>
      <c r="D26" s="36"/>
      <c r="E26" s="36"/>
      <c r="F26" s="36"/>
      <c r="G26" s="36"/>
      <c r="H26" s="36"/>
      <c r="I26" s="147"/>
      <c r="J26" s="147"/>
      <c r="K26" s="36"/>
      <c r="L26" s="1"/>
      <c r="M26" s="1"/>
      <c r="N26" s="1"/>
      <c r="O26" s="1"/>
      <c r="P26" s="1"/>
      <c r="Q26" s="1"/>
    </row>
    <row r="27" spans="1:17" x14ac:dyDescent="0.2">
      <c r="B27" s="1" t="s">
        <v>246</v>
      </c>
      <c r="C27" s="1"/>
      <c r="D27" s="1"/>
      <c r="E27" s="1"/>
      <c r="F27" s="1"/>
      <c r="G27" s="1"/>
      <c r="H27" s="1"/>
      <c r="I27" s="143"/>
      <c r="J27" s="143"/>
      <c r="K27" s="1"/>
      <c r="L27" s="1"/>
      <c r="M27" s="1"/>
      <c r="N27" s="1"/>
      <c r="O27" s="1"/>
      <c r="P27" s="1"/>
      <c r="Q27" s="1"/>
    </row>
    <row r="28" spans="1:17" x14ac:dyDescent="0.2">
      <c r="B28" s="1"/>
      <c r="C28" s="1"/>
      <c r="D28" s="1"/>
      <c r="E28" s="1"/>
      <c r="F28" s="1"/>
      <c r="G28" s="1"/>
      <c r="H28" s="1"/>
      <c r="I28" s="143"/>
      <c r="J28" s="143"/>
      <c r="K28" s="1"/>
      <c r="L28" s="1"/>
      <c r="M28" s="1"/>
      <c r="N28" s="1"/>
      <c r="O28" s="1"/>
      <c r="P28" s="1"/>
      <c r="Q28" s="1"/>
    </row>
    <row r="29" spans="1:17" x14ac:dyDescent="0.2">
      <c r="B29" s="1" t="s">
        <v>363</v>
      </c>
      <c r="C29" s="1"/>
      <c r="D29" s="1"/>
      <c r="E29" s="1"/>
      <c r="F29" s="1"/>
      <c r="G29" s="1"/>
      <c r="H29" s="1"/>
      <c r="I29" s="143"/>
      <c r="J29" s="143"/>
      <c r="K29" s="1"/>
      <c r="L29" s="1"/>
      <c r="M29" s="1"/>
      <c r="N29" s="1"/>
      <c r="O29" s="1"/>
      <c r="P29" s="1"/>
      <c r="Q29" s="1"/>
    </row>
    <row r="30" spans="1:17" x14ac:dyDescent="0.2">
      <c r="B30" s="1" t="s">
        <v>364</v>
      </c>
      <c r="C30" s="1">
        <v>545</v>
      </c>
      <c r="D30" s="1"/>
      <c r="E30" s="1"/>
      <c r="F30" s="1"/>
      <c r="G30" s="1"/>
      <c r="H30" s="1"/>
      <c r="I30" s="143"/>
      <c r="J30" s="143"/>
      <c r="K30" s="1"/>
      <c r="L30" s="1"/>
      <c r="M30" s="1"/>
      <c r="N30" s="1"/>
      <c r="O30" s="1"/>
      <c r="P30" s="1"/>
      <c r="Q30" s="1"/>
    </row>
    <row r="31" spans="1:17" x14ac:dyDescent="0.2">
      <c r="B31" s="1" t="s">
        <v>365</v>
      </c>
      <c r="C31" s="1">
        <v>604</v>
      </c>
      <c r="D31" s="1"/>
      <c r="E31" s="1"/>
      <c r="F31" s="1"/>
      <c r="G31" s="1"/>
      <c r="H31" s="1"/>
      <c r="I31" s="143"/>
      <c r="J31" s="143"/>
      <c r="K31" s="1"/>
      <c r="L31" s="1"/>
      <c r="M31" s="1"/>
      <c r="N31" s="1"/>
      <c r="O31" s="1"/>
      <c r="P31" s="1"/>
      <c r="Q31" s="1"/>
    </row>
    <row r="32" spans="1:17" x14ac:dyDescent="0.2">
      <c r="B32" s="1" t="s">
        <v>366</v>
      </c>
      <c r="C32" s="1">
        <v>578</v>
      </c>
      <c r="D32" s="1"/>
      <c r="E32" s="1"/>
      <c r="F32" s="1"/>
      <c r="G32" s="1"/>
      <c r="H32" s="1"/>
      <c r="I32" s="143"/>
      <c r="J32" s="143"/>
      <c r="K32" s="1"/>
      <c r="L32" s="1"/>
      <c r="M32" s="1"/>
      <c r="N32" s="1"/>
      <c r="O32" s="1"/>
      <c r="P32" s="1"/>
      <c r="Q32" s="1"/>
    </row>
    <row r="33" spans="2:17" x14ac:dyDescent="0.2">
      <c r="B33" s="1" t="s">
        <v>367</v>
      </c>
      <c r="C33" s="1">
        <v>1033</v>
      </c>
      <c r="D33" s="1"/>
      <c r="E33" s="1"/>
      <c r="F33" s="1"/>
      <c r="G33" s="1"/>
      <c r="H33" s="1"/>
      <c r="I33" s="143"/>
      <c r="J33" s="143"/>
      <c r="K33" s="1"/>
      <c r="L33" s="1"/>
      <c r="M33" s="1"/>
      <c r="N33" s="1"/>
      <c r="O33" s="1"/>
      <c r="P33" s="1"/>
      <c r="Q33" s="1"/>
    </row>
    <row r="34" spans="2:17" x14ac:dyDescent="0.2">
      <c r="B34" s="1" t="s">
        <v>363</v>
      </c>
      <c r="C34" s="1">
        <f>AVERAGE(C30:C33)</f>
        <v>690</v>
      </c>
      <c r="D34" s="1"/>
      <c r="E34" s="1"/>
      <c r="F34" s="1"/>
      <c r="G34" s="1"/>
      <c r="H34" s="1"/>
      <c r="I34" s="143"/>
      <c r="J34" s="143"/>
      <c r="K34" s="1"/>
      <c r="L34" s="1"/>
      <c r="M34" s="1"/>
      <c r="N34" s="1"/>
      <c r="O34" s="1"/>
      <c r="P34" s="1"/>
      <c r="Q34" s="1"/>
    </row>
  </sheetData>
  <mergeCells count="1">
    <mergeCell ref="J19:K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opLeftCell="A52" workbookViewId="0">
      <selection activeCell="D11" sqref="D11"/>
    </sheetView>
  </sheetViews>
  <sheetFormatPr baseColWidth="10" defaultColWidth="8.83203125" defaultRowHeight="15" x14ac:dyDescent="0.2"/>
  <cols>
    <col min="1" max="1" width="8.83203125" style="1"/>
    <col min="2" max="2" width="61.1640625" customWidth="1"/>
    <col min="3" max="3" width="13.33203125" customWidth="1"/>
    <col min="4" max="4" width="15.33203125" customWidth="1"/>
    <col min="5" max="5" width="23.6640625" customWidth="1"/>
    <col min="6" max="6" width="15" customWidth="1"/>
    <col min="8" max="8" width="38.1640625" customWidth="1"/>
    <col min="9" max="9" width="16.1640625" customWidth="1"/>
    <col min="10" max="10" width="10.5" customWidth="1"/>
    <col min="11" max="11" width="17.5" customWidth="1"/>
    <col min="12" max="12" width="16.1640625" customWidth="1"/>
    <col min="16" max="16" width="15.6640625" customWidth="1"/>
    <col min="17" max="17" width="17.5" customWidth="1"/>
  </cols>
  <sheetData>
    <row r="1" spans="1:15" x14ac:dyDescent="0.2">
      <c r="B1" s="1"/>
      <c r="E1" s="1" t="s">
        <v>232</v>
      </c>
      <c r="F1" t="s">
        <v>17</v>
      </c>
      <c r="H1" s="1" t="s">
        <v>232</v>
      </c>
      <c r="I1" t="s">
        <v>17</v>
      </c>
    </row>
    <row r="2" spans="1:15" x14ac:dyDescent="0.2">
      <c r="B2" s="1" t="s">
        <v>14</v>
      </c>
      <c r="C2">
        <v>5</v>
      </c>
      <c r="E2" s="1" t="s">
        <v>3</v>
      </c>
      <c r="F2" s="9">
        <v>41000</v>
      </c>
      <c r="H2" s="1" t="s">
        <v>19</v>
      </c>
      <c r="I2" s="9">
        <v>51.88</v>
      </c>
    </row>
    <row r="3" spans="1:15" x14ac:dyDescent="0.2">
      <c r="B3" s="1" t="s">
        <v>13</v>
      </c>
      <c r="C3" s="7">
        <v>0.03</v>
      </c>
      <c r="E3" s="1" t="s">
        <v>15</v>
      </c>
      <c r="F3" s="9">
        <v>3227</v>
      </c>
      <c r="H3" s="1" t="s">
        <v>20</v>
      </c>
      <c r="I3" s="11">
        <v>274</v>
      </c>
      <c r="M3" s="12"/>
    </row>
    <row r="4" spans="1:15" x14ac:dyDescent="0.2">
      <c r="B4" s="1" t="s">
        <v>12</v>
      </c>
      <c r="C4" s="8">
        <v>4.58</v>
      </c>
      <c r="E4" s="1" t="s">
        <v>16</v>
      </c>
      <c r="F4" s="9">
        <v>1663</v>
      </c>
      <c r="H4" s="1" t="s">
        <v>21</v>
      </c>
      <c r="I4" s="11">
        <v>440</v>
      </c>
      <c r="M4" s="13"/>
    </row>
    <row r="5" spans="1:15" x14ac:dyDescent="0.2">
      <c r="B5" s="1" t="s">
        <v>18</v>
      </c>
      <c r="C5">
        <v>6.81</v>
      </c>
      <c r="E5" s="1"/>
      <c r="H5" s="1" t="s">
        <v>22</v>
      </c>
      <c r="I5" s="11">
        <v>17.600000000000001</v>
      </c>
      <c r="M5" s="13"/>
    </row>
    <row r="6" spans="1:15" x14ac:dyDescent="0.2">
      <c r="M6" s="13"/>
    </row>
    <row r="7" spans="1:15" ht="16" thickBot="1" x14ac:dyDescent="0.25">
      <c r="K7" s="1"/>
      <c r="L7" s="104"/>
      <c r="M7" s="105"/>
    </row>
    <row r="8" spans="1:15" s="103" customFormat="1" ht="16" thickBot="1" x14ac:dyDescent="0.25">
      <c r="A8" s="100" t="s">
        <v>149</v>
      </c>
      <c r="B8" s="101" t="s">
        <v>4</v>
      </c>
      <c r="C8" s="102"/>
      <c r="D8" s="102"/>
    </row>
    <row r="9" spans="1:15" s="4" customFormat="1" ht="16" thickBot="1" x14ac:dyDescent="0.25">
      <c r="A9" s="1"/>
      <c r="B9" s="36"/>
      <c r="C9" s="37"/>
      <c r="D9" s="37"/>
      <c r="E9" s="6"/>
    </row>
    <row r="10" spans="1:15" s="4" customFormat="1" ht="16" thickBot="1" x14ac:dyDescent="0.25">
      <c r="A10" s="1">
        <v>1</v>
      </c>
      <c r="B10" s="36" t="s">
        <v>155</v>
      </c>
      <c r="C10" s="37"/>
      <c r="D10" s="51">
        <f>(D46+D49)</f>
        <v>42.55</v>
      </c>
      <c r="E10" s="52" t="s">
        <v>80</v>
      </c>
      <c r="F10" s="1" t="s">
        <v>372</v>
      </c>
      <c r="I10" s="146">
        <f>D10*H14</f>
        <v>68760.799999999988</v>
      </c>
      <c r="J10" s="52" t="s">
        <v>80</v>
      </c>
    </row>
    <row r="11" spans="1:15" ht="16" thickBot="1" x14ac:dyDescent="0.25">
      <c r="A11" s="1">
        <v>2</v>
      </c>
      <c r="B11" s="36" t="s">
        <v>154</v>
      </c>
      <c r="C11" s="37"/>
      <c r="D11" s="146">
        <f>D47+C66+C63</f>
        <v>87.93</v>
      </c>
      <c r="E11" s="52" t="s">
        <v>80</v>
      </c>
      <c r="F11" s="4" t="s">
        <v>373</v>
      </c>
      <c r="G11" s="4"/>
      <c r="H11" s="4"/>
      <c r="I11" s="146">
        <f>D11*H15</f>
        <v>42628.464</v>
      </c>
      <c r="J11" s="52" t="s">
        <v>80</v>
      </c>
      <c r="K11" s="4"/>
      <c r="L11" s="4"/>
      <c r="M11" s="4"/>
      <c r="N11" s="4"/>
      <c r="O11" s="4"/>
    </row>
    <row r="12" spans="1:15" x14ac:dyDescent="0.2">
      <c r="B12" s="36"/>
      <c r="C12" s="37"/>
      <c r="D12" s="52"/>
      <c r="E12" s="52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6" thickBot="1" x14ac:dyDescent="0.25">
      <c r="B13" s="1" t="s">
        <v>78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61" thickBot="1" x14ac:dyDescent="0.25">
      <c r="A14" s="1">
        <f>A11+1</f>
        <v>3</v>
      </c>
      <c r="B14" s="53" t="s">
        <v>370</v>
      </c>
      <c r="C14" s="52"/>
      <c r="D14" s="51">
        <v>8</v>
      </c>
      <c r="E14" s="52" t="s">
        <v>23</v>
      </c>
      <c r="F14" s="51">
        <f>Personnel!D13</f>
        <v>202</v>
      </c>
      <c r="G14" s="97" t="s">
        <v>202</v>
      </c>
      <c r="H14" s="51">
        <f>D14*F14</f>
        <v>1616</v>
      </c>
      <c r="I14" s="97" t="s">
        <v>203</v>
      </c>
      <c r="J14" s="4"/>
      <c r="K14" s="4"/>
      <c r="L14" s="4"/>
      <c r="M14" s="4"/>
      <c r="N14" s="4"/>
      <c r="O14" s="4"/>
    </row>
    <row r="15" spans="1:15" ht="61" thickBot="1" x14ac:dyDescent="0.25">
      <c r="A15" s="1">
        <f>A14+1</f>
        <v>4</v>
      </c>
      <c r="B15" s="53" t="s">
        <v>156</v>
      </c>
      <c r="C15" s="52"/>
      <c r="D15" s="51">
        <f>D14*0.3</f>
        <v>2.4</v>
      </c>
      <c r="E15" s="52" t="s">
        <v>23</v>
      </c>
      <c r="F15" s="51">
        <v>202</v>
      </c>
      <c r="G15" s="97" t="s">
        <v>202</v>
      </c>
      <c r="H15" s="51">
        <f>D15*F15</f>
        <v>484.79999999999995</v>
      </c>
      <c r="I15" s="97" t="s">
        <v>203</v>
      </c>
      <c r="J15" s="4"/>
      <c r="K15" s="4"/>
      <c r="L15" s="4"/>
      <c r="M15" s="4"/>
      <c r="N15" s="4"/>
      <c r="O15" s="4"/>
    </row>
    <row r="16" spans="1:15" x14ac:dyDescent="0.2">
      <c r="B16" s="53"/>
      <c r="C16" s="52"/>
      <c r="D16" s="52"/>
      <c r="E16" s="52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">
      <c r="B17" s="4"/>
      <c r="C17" s="6"/>
      <c r="D17" s="6"/>
      <c r="E17" s="6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">
      <c r="A18" s="1">
        <f>A15+1</f>
        <v>5</v>
      </c>
      <c r="B18" s="1" t="s">
        <v>65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59.25" customHeight="1" x14ac:dyDescent="0.2">
      <c r="B19" s="54" t="s">
        <v>35</v>
      </c>
      <c r="C19" s="55" t="s">
        <v>44</v>
      </c>
      <c r="D19" s="55" t="s">
        <v>45</v>
      </c>
      <c r="E19" s="55" t="s">
        <v>43</v>
      </c>
      <c r="F19" s="55" t="s">
        <v>77</v>
      </c>
      <c r="G19" s="55" t="s">
        <v>46</v>
      </c>
      <c r="H19" s="4"/>
      <c r="I19" s="4"/>
      <c r="J19" s="4"/>
      <c r="K19" s="4"/>
      <c r="L19" s="4"/>
      <c r="M19" s="4"/>
      <c r="N19" s="4"/>
      <c r="O19" s="4"/>
    </row>
    <row r="20" spans="1:15" x14ac:dyDescent="0.2">
      <c r="B20" s="41">
        <v>40613</v>
      </c>
      <c r="C20" s="42"/>
      <c r="D20" s="42"/>
      <c r="E20" s="42"/>
      <c r="F20" s="42"/>
      <c r="G20" s="42"/>
      <c r="H20" s="4"/>
      <c r="I20" s="4"/>
      <c r="J20" s="4"/>
      <c r="K20" s="4"/>
      <c r="L20" s="4"/>
      <c r="M20" s="4"/>
      <c r="N20" s="4"/>
      <c r="O20" s="4"/>
    </row>
    <row r="21" spans="1:15" x14ac:dyDescent="0.2">
      <c r="B21" s="43">
        <v>40644</v>
      </c>
      <c r="C21" s="42"/>
      <c r="D21" s="42"/>
      <c r="E21" s="42"/>
      <c r="F21" s="42"/>
      <c r="G21" s="42"/>
      <c r="H21" s="4"/>
      <c r="I21" s="4"/>
      <c r="J21" s="4"/>
      <c r="K21" s="4"/>
      <c r="L21" s="4"/>
      <c r="M21" s="4"/>
      <c r="N21" s="4"/>
      <c r="O21" s="4"/>
    </row>
    <row r="22" spans="1:15" x14ac:dyDescent="0.2">
      <c r="B22" s="43">
        <v>40674</v>
      </c>
      <c r="C22" s="42"/>
      <c r="D22" s="42"/>
      <c r="E22" s="42"/>
      <c r="F22" s="42"/>
      <c r="G22" s="42"/>
      <c r="H22" s="4"/>
      <c r="I22" s="4"/>
      <c r="J22" s="4"/>
      <c r="K22" s="4"/>
      <c r="L22" s="4"/>
      <c r="M22" s="4"/>
      <c r="N22" s="4"/>
      <c r="O22" s="4"/>
    </row>
    <row r="23" spans="1:15" x14ac:dyDescent="0.2">
      <c r="B23" s="43">
        <v>40705</v>
      </c>
      <c r="C23" s="42"/>
      <c r="D23" s="42"/>
      <c r="E23" s="42"/>
      <c r="F23" s="42"/>
      <c r="G23" s="42"/>
      <c r="H23" s="4"/>
      <c r="I23" s="4"/>
      <c r="J23" s="4"/>
      <c r="K23" s="4"/>
      <c r="L23" s="4"/>
      <c r="M23" s="4"/>
      <c r="N23" s="4"/>
      <c r="O23" s="4"/>
    </row>
    <row r="24" spans="1:15" x14ac:dyDescent="0.2">
      <c r="B24" s="43">
        <v>40735</v>
      </c>
      <c r="C24" s="42"/>
      <c r="D24" s="42"/>
      <c r="E24" s="42"/>
      <c r="F24" s="42"/>
      <c r="G24" s="42"/>
      <c r="H24" s="4"/>
      <c r="I24" s="4"/>
      <c r="J24" s="4"/>
      <c r="K24" s="4"/>
      <c r="L24" s="4"/>
      <c r="M24" s="4"/>
      <c r="N24" s="4"/>
      <c r="O24" s="4"/>
    </row>
    <row r="25" spans="1:15" x14ac:dyDescent="0.2">
      <c r="B25" s="43">
        <v>40766</v>
      </c>
      <c r="C25" s="42"/>
      <c r="D25" s="42"/>
      <c r="E25" s="42"/>
      <c r="F25" s="42"/>
      <c r="G25" s="42"/>
      <c r="H25" s="4"/>
      <c r="I25" s="4"/>
      <c r="J25" s="4"/>
      <c r="K25" s="4"/>
      <c r="L25" s="4"/>
      <c r="M25" s="4"/>
      <c r="N25" s="4"/>
      <c r="O25" s="4"/>
    </row>
    <row r="26" spans="1:15" x14ac:dyDescent="0.2">
      <c r="B26" s="43">
        <v>40797</v>
      </c>
      <c r="C26" s="42"/>
      <c r="D26" s="42"/>
      <c r="E26" s="42"/>
      <c r="F26" s="42"/>
      <c r="G26" s="42"/>
      <c r="H26" s="4"/>
      <c r="I26" s="4"/>
      <c r="J26" s="4"/>
      <c r="K26" s="4"/>
      <c r="L26" s="4"/>
      <c r="M26" s="4"/>
      <c r="N26" s="4"/>
      <c r="O26" s="4"/>
    </row>
    <row r="27" spans="1:15" ht="16" thickBot="1" x14ac:dyDescent="0.25">
      <c r="B27" s="44"/>
      <c r="C27" s="6"/>
      <c r="D27" s="6"/>
      <c r="E27" s="6"/>
      <c r="F27" s="6"/>
      <c r="G27" s="6"/>
      <c r="H27" s="4"/>
      <c r="I27" s="4"/>
      <c r="J27" s="4"/>
      <c r="K27" s="4"/>
      <c r="L27" s="4"/>
      <c r="M27" s="4"/>
      <c r="N27" s="4"/>
      <c r="O27" s="4"/>
    </row>
    <row r="28" spans="1:15" ht="16" thickBot="1" x14ac:dyDescent="0.25">
      <c r="A28" s="1">
        <f>A18+1</f>
        <v>6</v>
      </c>
      <c r="B28" s="25" t="s">
        <v>164</v>
      </c>
      <c r="C28" s="6"/>
      <c r="D28" s="51"/>
      <c r="E28" s="52" t="s">
        <v>23</v>
      </c>
      <c r="F28" s="6"/>
      <c r="G28" s="6"/>
      <c r="H28" s="4"/>
      <c r="I28" s="4"/>
      <c r="J28" s="4"/>
      <c r="K28" s="4"/>
      <c r="L28" s="4"/>
      <c r="M28" s="4"/>
      <c r="N28" s="4"/>
      <c r="O28" s="4"/>
    </row>
    <row r="29" spans="1:15" ht="16" thickBot="1" x14ac:dyDescent="0.25">
      <c r="A29" s="1">
        <f>A28+1</f>
        <v>7</v>
      </c>
      <c r="B29" s="25" t="s">
        <v>165</v>
      </c>
      <c r="C29" s="6"/>
      <c r="D29" s="51"/>
      <c r="E29" s="52" t="s">
        <v>23</v>
      </c>
      <c r="F29" s="6"/>
      <c r="G29" s="6"/>
      <c r="H29" s="4"/>
      <c r="I29" s="4"/>
      <c r="J29" s="4"/>
      <c r="K29" s="4"/>
      <c r="L29" s="4"/>
      <c r="M29" s="4"/>
      <c r="N29" s="4"/>
      <c r="O29" s="4"/>
    </row>
    <row r="30" spans="1:15" x14ac:dyDescent="0.2">
      <c r="B30" s="25"/>
      <c r="C30" s="6"/>
      <c r="D30" s="52"/>
      <c r="E30" s="52"/>
      <c r="F30" s="6"/>
      <c r="G30" s="6"/>
      <c r="H30" s="4"/>
      <c r="I30" s="4"/>
      <c r="J30" s="4"/>
      <c r="K30" s="4"/>
      <c r="L30" s="4"/>
      <c r="M30" s="4"/>
      <c r="N30" s="4"/>
      <c r="O30" s="4"/>
    </row>
    <row r="31" spans="1:15" x14ac:dyDescent="0.2">
      <c r="B31" s="25"/>
      <c r="C31" s="6"/>
      <c r="D31" s="6"/>
      <c r="E31" s="6"/>
      <c r="F31" s="6"/>
      <c r="G31" s="6"/>
      <c r="H31" s="4"/>
      <c r="I31" s="4"/>
      <c r="J31" s="4"/>
      <c r="K31" s="4"/>
      <c r="L31" s="4"/>
      <c r="M31" s="4"/>
      <c r="N31" s="4"/>
      <c r="O31" s="4"/>
    </row>
    <row r="32" spans="1:15" ht="60" customHeight="1" x14ac:dyDescent="0.2">
      <c r="B32" s="54" t="s">
        <v>35</v>
      </c>
      <c r="C32" s="55" t="s">
        <v>59</v>
      </c>
      <c r="D32" s="55" t="s">
        <v>60</v>
      </c>
      <c r="E32" s="55" t="s">
        <v>61</v>
      </c>
      <c r="F32" s="55" t="s">
        <v>66</v>
      </c>
      <c r="G32" s="55" t="s">
        <v>67</v>
      </c>
      <c r="H32" s="55" t="s">
        <v>159</v>
      </c>
      <c r="I32" s="4"/>
      <c r="J32" s="55" t="s">
        <v>158</v>
      </c>
      <c r="K32" s="55" t="s">
        <v>45</v>
      </c>
      <c r="L32" s="55" t="s">
        <v>157</v>
      </c>
      <c r="M32" s="4"/>
      <c r="N32" s="4"/>
      <c r="O32" s="4"/>
    </row>
    <row r="33" spans="1:17" x14ac:dyDescent="0.2">
      <c r="B33" s="41">
        <v>40613</v>
      </c>
      <c r="C33" s="42"/>
      <c r="D33" s="42"/>
      <c r="E33" s="42"/>
      <c r="F33" s="42"/>
      <c r="G33" s="42"/>
      <c r="H33" s="42"/>
      <c r="I33" s="4"/>
      <c r="J33" s="42"/>
      <c r="K33" s="42"/>
      <c r="L33" s="42"/>
      <c r="M33" s="4"/>
      <c r="N33" s="4"/>
      <c r="O33" s="4"/>
    </row>
    <row r="34" spans="1:17" x14ac:dyDescent="0.2">
      <c r="B34" s="43">
        <v>40644</v>
      </c>
      <c r="C34" s="42"/>
      <c r="D34" s="42"/>
      <c r="E34" s="42"/>
      <c r="F34" s="42"/>
      <c r="G34" s="42"/>
      <c r="H34" s="42"/>
      <c r="I34" s="4"/>
      <c r="J34" s="42"/>
      <c r="K34" s="42"/>
      <c r="L34" s="42"/>
      <c r="M34" s="4"/>
      <c r="N34" s="4"/>
      <c r="O34" s="4"/>
    </row>
    <row r="35" spans="1:17" x14ac:dyDescent="0.2">
      <c r="B35" s="43">
        <v>40674</v>
      </c>
      <c r="C35" s="42"/>
      <c r="D35" s="42"/>
      <c r="E35" s="42"/>
      <c r="F35" s="42"/>
      <c r="G35" s="42"/>
      <c r="H35" s="42"/>
      <c r="I35" s="4"/>
      <c r="J35" s="42"/>
      <c r="K35" s="42"/>
      <c r="L35" s="42"/>
      <c r="M35" s="4"/>
      <c r="N35" s="4"/>
      <c r="O35" s="4"/>
    </row>
    <row r="36" spans="1:17" x14ac:dyDescent="0.2">
      <c r="B36" s="43">
        <v>40705</v>
      </c>
      <c r="C36" s="42"/>
      <c r="D36" s="42"/>
      <c r="E36" s="42"/>
      <c r="F36" s="42"/>
      <c r="G36" s="42"/>
      <c r="H36" s="42"/>
      <c r="I36" s="4"/>
      <c r="J36" s="42"/>
      <c r="K36" s="42"/>
      <c r="L36" s="42"/>
      <c r="M36" s="4"/>
      <c r="N36" s="4"/>
      <c r="O36" s="4"/>
    </row>
    <row r="37" spans="1:17" x14ac:dyDescent="0.2">
      <c r="B37" s="41">
        <v>40735</v>
      </c>
      <c r="C37" s="42"/>
      <c r="D37" s="42"/>
      <c r="E37" s="42"/>
      <c r="F37" s="42"/>
      <c r="G37" s="42"/>
      <c r="H37" s="42"/>
      <c r="I37" s="4"/>
      <c r="J37" s="42"/>
      <c r="K37" s="42"/>
      <c r="L37" s="42"/>
      <c r="M37" s="4"/>
      <c r="N37" s="4"/>
      <c r="O37" s="4"/>
    </row>
    <row r="38" spans="1:17" x14ac:dyDescent="0.2">
      <c r="B38" s="43">
        <v>40766</v>
      </c>
      <c r="C38" s="42"/>
      <c r="D38" s="42"/>
      <c r="E38" s="42"/>
      <c r="F38" s="42"/>
      <c r="G38" s="42"/>
      <c r="H38" s="42"/>
      <c r="I38" s="4"/>
      <c r="J38" s="42"/>
      <c r="K38" s="42"/>
      <c r="L38" s="42"/>
      <c r="M38" s="4"/>
      <c r="N38" s="4"/>
      <c r="O38" s="4"/>
    </row>
    <row r="39" spans="1:17" x14ac:dyDescent="0.2">
      <c r="B39" s="41">
        <v>40797</v>
      </c>
      <c r="C39" s="42"/>
      <c r="D39" s="42"/>
      <c r="E39" s="42"/>
      <c r="F39" s="42"/>
      <c r="G39" s="42"/>
      <c r="H39" s="42"/>
      <c r="I39" s="4"/>
      <c r="J39" s="42"/>
      <c r="K39" s="42"/>
      <c r="L39" s="42"/>
      <c r="M39" s="4"/>
      <c r="N39" s="4"/>
      <c r="O39" s="4"/>
    </row>
    <row r="40" spans="1:17" x14ac:dyDescent="0.2">
      <c r="B40" s="45"/>
      <c r="C40" s="6"/>
      <c r="D40" s="6"/>
      <c r="E40" s="6"/>
      <c r="F40" s="6"/>
      <c r="G40" s="6"/>
      <c r="H40" s="6"/>
      <c r="I40" s="4"/>
      <c r="J40" s="6"/>
      <c r="K40" s="6"/>
      <c r="L40" s="6"/>
      <c r="M40" s="4"/>
      <c r="N40" s="4"/>
      <c r="O40" s="4"/>
    </row>
    <row r="41" spans="1:17" x14ac:dyDescent="0.2">
      <c r="B41" s="45" t="s">
        <v>92</v>
      </c>
      <c r="C41" s="6"/>
      <c r="D41" s="6"/>
      <c r="E41" s="6"/>
      <c r="F41" s="6"/>
      <c r="G41" s="6"/>
      <c r="H41" s="6"/>
      <c r="I41" s="4"/>
      <c r="J41" s="4"/>
      <c r="K41" s="4"/>
      <c r="L41" s="4"/>
      <c r="M41" s="4"/>
      <c r="N41" s="4"/>
      <c r="O41" s="4"/>
    </row>
    <row r="42" spans="1:17" ht="16" thickBot="1" x14ac:dyDescent="0.25">
      <c r="B42" s="45"/>
      <c r="C42" s="6"/>
      <c r="D42" s="6"/>
      <c r="E42" s="6"/>
      <c r="F42" s="6"/>
      <c r="G42" s="6"/>
      <c r="H42" s="6"/>
      <c r="I42" s="4"/>
      <c r="J42" s="4"/>
      <c r="K42" s="4"/>
      <c r="L42" s="4"/>
      <c r="M42" s="4"/>
      <c r="N42" s="4"/>
      <c r="O42" s="4"/>
    </row>
    <row r="43" spans="1:17" ht="16" thickBot="1" x14ac:dyDescent="0.25">
      <c r="A43" s="1">
        <f>A29+1</f>
        <v>8</v>
      </c>
      <c r="B43" s="26" t="s">
        <v>168</v>
      </c>
      <c r="C43" s="6"/>
      <c r="D43" s="51">
        <f>H36/D14</f>
        <v>0</v>
      </c>
      <c r="E43" s="52" t="s">
        <v>23</v>
      </c>
      <c r="F43" s="6"/>
      <c r="G43" s="6"/>
      <c r="H43" s="6"/>
      <c r="I43" s="4"/>
      <c r="J43" s="4"/>
      <c r="K43" s="4"/>
      <c r="L43" s="4"/>
      <c r="M43" s="4"/>
      <c r="N43" s="4"/>
      <c r="O43" s="4"/>
    </row>
    <row r="44" spans="1:17" x14ac:dyDescent="0.2">
      <c r="B44" s="45"/>
      <c r="C44" s="6"/>
      <c r="D44" s="6"/>
      <c r="E44" s="6"/>
      <c r="F44" s="6"/>
      <c r="G44" s="6"/>
      <c r="H44" s="6"/>
      <c r="I44" s="4"/>
      <c r="J44" s="4"/>
      <c r="K44" s="4"/>
      <c r="L44" s="4"/>
      <c r="M44" s="4"/>
      <c r="N44" s="4"/>
      <c r="O44" s="4"/>
    </row>
    <row r="45" spans="1:17" s="1" customFormat="1" ht="16" thickBot="1" x14ac:dyDescent="0.25">
      <c r="B45" s="26" t="s">
        <v>153</v>
      </c>
      <c r="C45" s="27"/>
      <c r="D45" s="27"/>
      <c r="E45" s="27"/>
      <c r="F45" s="27"/>
      <c r="G45" s="27"/>
      <c r="H45" s="27"/>
      <c r="P45" s="60" t="s">
        <v>166</v>
      </c>
      <c r="Q45" s="60" t="s">
        <v>167</v>
      </c>
    </row>
    <row r="46" spans="1:17" ht="16" thickBot="1" x14ac:dyDescent="0.25">
      <c r="A46" s="1">
        <f>A43+1</f>
        <v>9</v>
      </c>
      <c r="B46" s="45" t="s">
        <v>122</v>
      </c>
      <c r="C46" s="6"/>
      <c r="D46" s="112">
        <f>2255/100</f>
        <v>22.55</v>
      </c>
      <c r="E46" s="52" t="s">
        <v>80</v>
      </c>
      <c r="F46" s="6"/>
      <c r="G46" s="51">
        <v>1</v>
      </c>
      <c r="H46" s="52" t="s">
        <v>91</v>
      </c>
      <c r="I46" s="4"/>
      <c r="J46" s="46"/>
      <c r="K46" s="4"/>
      <c r="L46" s="4"/>
      <c r="M46" s="4"/>
      <c r="N46" s="4"/>
      <c r="O46" s="4"/>
      <c r="P46" s="18"/>
      <c r="Q46" s="18"/>
    </row>
    <row r="47" spans="1:17" ht="16" thickBot="1" x14ac:dyDescent="0.25">
      <c r="A47" s="1">
        <f>A46+1</f>
        <v>10</v>
      </c>
      <c r="B47" s="45" t="s">
        <v>123</v>
      </c>
      <c r="C47" s="6"/>
      <c r="D47" s="112">
        <f>276.25/25</f>
        <v>11.05</v>
      </c>
      <c r="E47" s="52" t="s">
        <v>80</v>
      </c>
      <c r="F47" s="6"/>
      <c r="G47" s="51">
        <v>1</v>
      </c>
      <c r="H47" s="52" t="s">
        <v>91</v>
      </c>
      <c r="I47" s="4"/>
      <c r="J47" s="47"/>
      <c r="K47" s="56"/>
      <c r="L47" s="52" t="s">
        <v>87</v>
      </c>
      <c r="M47" s="4"/>
      <c r="N47" s="4"/>
      <c r="O47" s="4"/>
      <c r="P47" s="18"/>
      <c r="Q47" s="18"/>
    </row>
    <row r="48" spans="1:17" ht="16" thickBot="1" x14ac:dyDescent="0.25">
      <c r="A48" s="1">
        <f t="shared" ref="A48:A55" si="0">A47+1</f>
        <v>11</v>
      </c>
      <c r="B48" s="45" t="s">
        <v>124</v>
      </c>
      <c r="C48" s="6"/>
      <c r="D48" s="51"/>
      <c r="E48" s="52" t="s">
        <v>80</v>
      </c>
      <c r="F48" s="6"/>
      <c r="G48" s="51"/>
      <c r="H48" s="52" t="s">
        <v>91</v>
      </c>
      <c r="I48" s="4"/>
      <c r="J48" s="48"/>
      <c r="K48" s="4"/>
      <c r="L48" s="4"/>
      <c r="M48" s="4"/>
      <c r="N48" s="4"/>
      <c r="O48" s="4"/>
      <c r="P48" s="18"/>
      <c r="Q48" s="18"/>
    </row>
    <row r="49" spans="1:17" ht="16" thickBot="1" x14ac:dyDescent="0.25">
      <c r="A49" s="1">
        <f t="shared" si="0"/>
        <v>12</v>
      </c>
      <c r="B49" s="45" t="s">
        <v>371</v>
      </c>
      <c r="C49" s="6"/>
      <c r="D49" s="51">
        <v>20</v>
      </c>
      <c r="E49" s="52" t="s">
        <v>80</v>
      </c>
      <c r="F49" s="6"/>
      <c r="G49" s="51">
        <v>1</v>
      </c>
      <c r="H49" s="52" t="s">
        <v>82</v>
      </c>
      <c r="I49" s="4"/>
      <c r="J49" s="4"/>
      <c r="K49" s="51"/>
      <c r="L49" s="52" t="s">
        <v>88</v>
      </c>
      <c r="M49" s="4"/>
      <c r="N49" s="4"/>
      <c r="O49" s="4"/>
      <c r="P49" s="18"/>
      <c r="Q49" s="18"/>
    </row>
    <row r="50" spans="1:17" ht="16" thickBot="1" x14ac:dyDescent="0.25">
      <c r="A50" s="1">
        <f t="shared" si="0"/>
        <v>13</v>
      </c>
      <c r="B50" s="153" t="s">
        <v>83</v>
      </c>
      <c r="C50" s="6"/>
      <c r="D50" s="51"/>
      <c r="E50" s="52" t="s">
        <v>80</v>
      </c>
      <c r="F50" s="6"/>
      <c r="G50" s="51"/>
      <c r="H50" s="52" t="s">
        <v>82</v>
      </c>
      <c r="I50" s="4"/>
      <c r="J50" s="4"/>
      <c r="K50" s="51"/>
      <c r="L50" s="52" t="s">
        <v>88</v>
      </c>
      <c r="M50" s="4"/>
      <c r="N50" s="4"/>
      <c r="O50" s="4"/>
      <c r="P50" s="18"/>
      <c r="Q50" s="18"/>
    </row>
    <row r="51" spans="1:17" ht="16" thickBot="1" x14ac:dyDescent="0.25">
      <c r="A51" s="1">
        <f t="shared" si="0"/>
        <v>14</v>
      </c>
      <c r="B51" s="153" t="s">
        <v>84</v>
      </c>
      <c r="C51" s="6"/>
      <c r="D51" s="51"/>
      <c r="E51" s="52" t="s">
        <v>80</v>
      </c>
      <c r="F51" s="6"/>
      <c r="G51" s="51"/>
      <c r="H51" s="52" t="s">
        <v>82</v>
      </c>
      <c r="I51" s="4"/>
      <c r="J51" s="4"/>
      <c r="K51" s="51"/>
      <c r="L51" s="52" t="s">
        <v>88</v>
      </c>
      <c r="M51" s="4"/>
      <c r="N51" s="4"/>
      <c r="O51" s="4"/>
      <c r="P51" s="18"/>
      <c r="Q51" s="18"/>
    </row>
    <row r="52" spans="1:17" ht="16" thickBot="1" x14ac:dyDescent="0.25">
      <c r="A52" s="1">
        <f t="shared" si="0"/>
        <v>15</v>
      </c>
      <c r="B52" s="153" t="s">
        <v>85</v>
      </c>
      <c r="C52" s="6"/>
      <c r="D52" s="51"/>
      <c r="E52" s="52" t="s">
        <v>80</v>
      </c>
      <c r="F52" s="6"/>
      <c r="G52" s="51"/>
      <c r="H52" s="52" t="s">
        <v>82</v>
      </c>
      <c r="I52" s="4"/>
      <c r="J52" s="4"/>
      <c r="K52" s="51"/>
      <c r="L52" s="52" t="s">
        <v>88</v>
      </c>
      <c r="M52" s="4"/>
      <c r="N52" s="4"/>
      <c r="O52" s="4"/>
      <c r="P52" s="18"/>
      <c r="Q52" s="18"/>
    </row>
    <row r="53" spans="1:17" ht="16" thickBot="1" x14ac:dyDescent="0.25">
      <c r="A53" s="1">
        <f t="shared" si="0"/>
        <v>16</v>
      </c>
      <c r="B53" s="153" t="s">
        <v>86</v>
      </c>
      <c r="C53" s="6"/>
      <c r="D53" s="51"/>
      <c r="E53" s="52" t="s">
        <v>80</v>
      </c>
      <c r="F53" s="6"/>
      <c r="G53" s="51"/>
      <c r="H53" s="52" t="s">
        <v>82</v>
      </c>
      <c r="I53" s="4"/>
      <c r="J53" s="4"/>
      <c r="K53" s="51"/>
      <c r="L53" s="52" t="s">
        <v>88</v>
      </c>
      <c r="M53" s="4"/>
      <c r="N53" s="4"/>
      <c r="O53" s="4"/>
      <c r="P53" s="18"/>
      <c r="Q53" s="18"/>
    </row>
    <row r="54" spans="1:17" ht="16" thickBot="1" x14ac:dyDescent="0.25">
      <c r="A54" s="1">
        <f t="shared" si="0"/>
        <v>17</v>
      </c>
      <c r="B54" s="153" t="s">
        <v>5</v>
      </c>
      <c r="C54" s="6"/>
      <c r="D54" s="51"/>
      <c r="E54" s="52" t="s">
        <v>80</v>
      </c>
      <c r="F54" s="6"/>
      <c r="G54" s="51"/>
      <c r="H54" s="52" t="s">
        <v>82</v>
      </c>
      <c r="I54" s="4"/>
      <c r="J54" s="4"/>
      <c r="K54" s="51"/>
      <c r="L54" s="52" t="s">
        <v>88</v>
      </c>
      <c r="M54" s="4"/>
      <c r="N54" s="4"/>
      <c r="O54" s="4"/>
      <c r="P54" s="18"/>
      <c r="Q54" s="18"/>
    </row>
    <row r="55" spans="1:17" ht="16" thickBot="1" x14ac:dyDescent="0.25">
      <c r="A55" s="1">
        <f t="shared" si="0"/>
        <v>18</v>
      </c>
      <c r="B55" s="45" t="s">
        <v>108</v>
      </c>
      <c r="C55" s="6"/>
      <c r="D55" s="51"/>
      <c r="E55" s="52" t="s">
        <v>80</v>
      </c>
      <c r="F55" s="6"/>
      <c r="G55" s="51"/>
      <c r="H55" s="52" t="s">
        <v>109</v>
      </c>
      <c r="I55" s="4"/>
      <c r="J55" s="4"/>
      <c r="K55" s="51"/>
      <c r="L55" s="52" t="s">
        <v>88</v>
      </c>
      <c r="M55" s="4"/>
      <c r="N55" s="4"/>
      <c r="O55" s="4"/>
      <c r="P55" s="18"/>
      <c r="Q55" s="18"/>
    </row>
    <row r="56" spans="1:17" ht="16" thickBot="1" x14ac:dyDescent="0.25">
      <c r="B56" s="45"/>
      <c r="C56" s="6"/>
      <c r="D56" s="52"/>
      <c r="E56" s="52"/>
      <c r="F56" s="6"/>
      <c r="G56" s="52"/>
      <c r="H56" s="52"/>
      <c r="I56" s="4"/>
      <c r="J56" s="4"/>
      <c r="K56" s="57"/>
      <c r="L56" s="52"/>
      <c r="M56" s="4"/>
      <c r="N56" s="4"/>
      <c r="O56" s="4"/>
    </row>
    <row r="57" spans="1:17" ht="16" thickBot="1" x14ac:dyDescent="0.25">
      <c r="A57" s="1">
        <f>A55+1</f>
        <v>19</v>
      </c>
      <c r="B57" s="26" t="s">
        <v>152</v>
      </c>
      <c r="C57" s="6"/>
      <c r="D57" s="4"/>
      <c r="E57" s="4"/>
      <c r="F57" s="6"/>
      <c r="G57" s="6"/>
      <c r="H57" s="6"/>
      <c r="I57" s="4" t="s">
        <v>81</v>
      </c>
      <c r="J57" s="4"/>
      <c r="K57" s="51"/>
      <c r="L57" s="52" t="s">
        <v>80</v>
      </c>
      <c r="M57" s="4"/>
      <c r="N57" s="4"/>
      <c r="O57" s="4"/>
    </row>
    <row r="58" spans="1:17" x14ac:dyDescent="0.2">
      <c r="B58" s="26"/>
      <c r="C58" s="6"/>
      <c r="D58" s="4"/>
      <c r="E58" s="4"/>
      <c r="F58" s="6"/>
      <c r="G58" s="6"/>
      <c r="H58" s="6"/>
      <c r="I58" s="4"/>
      <c r="J58" s="4"/>
      <c r="K58" s="52"/>
      <c r="L58" s="52"/>
      <c r="M58" s="4"/>
      <c r="N58" s="4"/>
      <c r="O58" s="4"/>
    </row>
    <row r="59" spans="1:17" x14ac:dyDescent="0.2">
      <c r="B59" s="28" t="s">
        <v>151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7" ht="16" thickBot="1" x14ac:dyDescent="0.25">
      <c r="A60" s="1">
        <f>A57+1</f>
        <v>20</v>
      </c>
      <c r="B60" s="1" t="s">
        <v>79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60" t="s">
        <v>166</v>
      </c>
      <c r="Q60" s="60" t="s">
        <v>167</v>
      </c>
    </row>
    <row r="61" spans="1:17" s="4" customFormat="1" ht="16" thickBot="1" x14ac:dyDescent="0.25">
      <c r="A61" s="1">
        <f>A60+1</f>
        <v>21</v>
      </c>
      <c r="B61" t="s">
        <v>160</v>
      </c>
      <c r="C61" s="107">
        <f>F2/C4</f>
        <v>8951.9650655021833</v>
      </c>
      <c r="D61" s="52" t="s">
        <v>231</v>
      </c>
      <c r="E61" s="6"/>
      <c r="F61" s="51"/>
      <c r="G61" s="52" t="s">
        <v>89</v>
      </c>
      <c r="J61" s="51"/>
      <c r="K61" s="52" t="s">
        <v>88</v>
      </c>
      <c r="P61" s="18"/>
      <c r="Q61" s="18"/>
    </row>
    <row r="62" spans="1:17" s="4" customFormat="1" ht="16" thickBot="1" x14ac:dyDescent="0.25">
      <c r="A62" s="1">
        <f t="shared" ref="A62:A65" si="1">A61+1</f>
        <v>22</v>
      </c>
      <c r="B62" t="s">
        <v>161</v>
      </c>
      <c r="C62" s="107">
        <f>F4/C4</f>
        <v>363.10043668122267</v>
      </c>
      <c r="D62" s="52" t="s">
        <v>231</v>
      </c>
      <c r="E62" s="6"/>
      <c r="F62" s="51"/>
      <c r="G62" s="52" t="s">
        <v>89</v>
      </c>
      <c r="J62" s="51"/>
      <c r="K62" s="52" t="s">
        <v>88</v>
      </c>
      <c r="P62" s="18"/>
      <c r="Q62" s="18"/>
    </row>
    <row r="63" spans="1:17" ht="16" thickBot="1" x14ac:dyDescent="0.25">
      <c r="A63" s="1">
        <f t="shared" si="1"/>
        <v>23</v>
      </c>
      <c r="B63" s="4" t="s">
        <v>119</v>
      </c>
      <c r="C63" s="108">
        <v>51.88</v>
      </c>
      <c r="D63" s="52" t="s">
        <v>80</v>
      </c>
      <c r="E63" s="6"/>
      <c r="F63" s="51"/>
      <c r="G63" s="52" t="s">
        <v>82</v>
      </c>
      <c r="H63" s="4"/>
      <c r="I63" s="4"/>
      <c r="J63" s="51"/>
      <c r="K63" s="52" t="s">
        <v>88</v>
      </c>
      <c r="L63" s="4"/>
      <c r="M63" s="4"/>
      <c r="N63" s="4"/>
      <c r="O63" s="4"/>
      <c r="P63" s="18"/>
      <c r="Q63" s="18"/>
    </row>
    <row r="64" spans="1:17" ht="16" thickBot="1" x14ac:dyDescent="0.25">
      <c r="A64" s="1">
        <f t="shared" si="1"/>
        <v>24</v>
      </c>
      <c r="B64" s="4" t="s">
        <v>20</v>
      </c>
      <c r="C64" s="106">
        <v>274</v>
      </c>
      <c r="D64" s="52" t="s">
        <v>80</v>
      </c>
      <c r="E64" s="6"/>
      <c r="F64" s="51"/>
      <c r="G64" s="52" t="s">
        <v>82</v>
      </c>
      <c r="H64" s="4"/>
      <c r="I64" s="4"/>
      <c r="J64" s="51"/>
      <c r="K64" s="52" t="s">
        <v>88</v>
      </c>
      <c r="L64" s="4"/>
      <c r="M64" s="4"/>
      <c r="N64" s="4"/>
      <c r="O64" s="4"/>
      <c r="P64" s="18"/>
      <c r="Q64" s="18"/>
    </row>
    <row r="65" spans="1:17" ht="16" thickBot="1" x14ac:dyDescent="0.25">
      <c r="A65" s="1">
        <f t="shared" si="1"/>
        <v>25</v>
      </c>
      <c r="B65" s="4" t="s">
        <v>21</v>
      </c>
      <c r="C65" s="106">
        <v>440</v>
      </c>
      <c r="D65" s="52" t="s">
        <v>80</v>
      </c>
      <c r="E65" s="6"/>
      <c r="F65" s="51"/>
      <c r="G65" s="52" t="s">
        <v>82</v>
      </c>
      <c r="H65" s="4"/>
      <c r="I65" s="4"/>
      <c r="J65" s="51"/>
      <c r="K65" s="52" t="s">
        <v>88</v>
      </c>
      <c r="L65" s="4"/>
      <c r="M65" s="4"/>
      <c r="N65" s="4"/>
      <c r="O65" s="4"/>
      <c r="P65" s="18"/>
      <c r="Q65" s="18"/>
    </row>
    <row r="66" spans="1:17" ht="16" thickBot="1" x14ac:dyDescent="0.25">
      <c r="A66" s="1">
        <f>A65+1</f>
        <v>26</v>
      </c>
      <c r="B66" s="4" t="s">
        <v>374</v>
      </c>
      <c r="C66" s="106">
        <v>25</v>
      </c>
      <c r="D66" s="52"/>
      <c r="E66" s="6"/>
      <c r="F66" s="51"/>
      <c r="G66" s="52" t="s">
        <v>82</v>
      </c>
      <c r="H66" s="4"/>
      <c r="I66" s="4"/>
      <c r="J66" s="51"/>
      <c r="K66" s="52" t="s">
        <v>88</v>
      </c>
      <c r="L66" s="4"/>
      <c r="M66" s="4"/>
      <c r="N66" s="4"/>
      <c r="O66" s="4"/>
      <c r="P66" s="18"/>
      <c r="Q66" s="18"/>
    </row>
    <row r="67" spans="1:17" s="5" customFormat="1" x14ac:dyDescent="0.2">
      <c r="A67" s="27"/>
      <c r="B67" s="49"/>
      <c r="C67" s="58"/>
      <c r="D67" s="52"/>
      <c r="E67" s="6"/>
      <c r="F67" s="58"/>
      <c r="G67" s="52"/>
      <c r="H67" s="6"/>
      <c r="I67" s="6"/>
      <c r="J67" s="58"/>
      <c r="K67" s="52"/>
      <c r="L67" s="6"/>
      <c r="M67" s="6"/>
      <c r="N67" s="6"/>
      <c r="O67" s="6"/>
      <c r="P67" s="18"/>
      <c r="Q67" s="18"/>
    </row>
    <row r="68" spans="1:17" ht="16" thickBot="1" x14ac:dyDescent="0.25">
      <c r="B68" s="1" t="s">
        <v>90</v>
      </c>
      <c r="C68" s="59"/>
      <c r="D68" s="52"/>
      <c r="E68" s="6"/>
      <c r="F68" s="59"/>
      <c r="G68" s="52"/>
      <c r="H68" s="4"/>
      <c r="I68" s="4"/>
      <c r="J68" s="59"/>
      <c r="K68" s="52"/>
      <c r="L68" s="4"/>
      <c r="M68" s="4"/>
      <c r="N68" s="4"/>
      <c r="O68" s="4"/>
      <c r="P68" s="18"/>
      <c r="Q68" s="18"/>
    </row>
    <row r="69" spans="1:17" ht="16" thickBot="1" x14ac:dyDescent="0.25">
      <c r="A69" s="1">
        <f>A66+1</f>
        <v>27</v>
      </c>
      <c r="B69" t="s">
        <v>162</v>
      </c>
      <c r="C69" s="51"/>
      <c r="D69" s="52" t="s">
        <v>80</v>
      </c>
      <c r="E69" s="6"/>
      <c r="F69" s="51"/>
      <c r="G69" s="52" t="s">
        <v>82</v>
      </c>
      <c r="H69" s="4"/>
      <c r="I69" s="4"/>
      <c r="J69" s="51"/>
      <c r="K69" s="52" t="s">
        <v>88</v>
      </c>
      <c r="L69" s="4"/>
      <c r="M69" s="4"/>
      <c r="N69" s="4"/>
      <c r="O69" s="4"/>
      <c r="P69" s="18"/>
      <c r="Q69" s="18"/>
    </row>
    <row r="70" spans="1:17" ht="16" thickBot="1" x14ac:dyDescent="0.25">
      <c r="A70" s="1">
        <f>A69+1</f>
        <v>28</v>
      </c>
      <c r="B70" t="s">
        <v>163</v>
      </c>
      <c r="C70" s="51"/>
      <c r="D70" s="52" t="s">
        <v>80</v>
      </c>
      <c r="E70" s="6"/>
      <c r="F70" s="51"/>
      <c r="G70" s="52" t="s">
        <v>82</v>
      </c>
      <c r="H70" s="4"/>
      <c r="I70" s="4"/>
      <c r="J70" s="51"/>
      <c r="K70" s="52" t="s">
        <v>88</v>
      </c>
      <c r="L70" s="4"/>
      <c r="M70" s="4"/>
      <c r="N70" s="4"/>
      <c r="O70" s="4"/>
      <c r="P70" s="18"/>
      <c r="Q70" s="18"/>
    </row>
    <row r="71" spans="1:17" ht="16" thickBot="1" x14ac:dyDescent="0.25">
      <c r="A71" s="1">
        <f t="shared" ref="A71:A72" si="2">A70+1</f>
        <v>29</v>
      </c>
      <c r="B71" s="4" t="s">
        <v>120</v>
      </c>
      <c r="C71" s="51"/>
      <c r="D71" s="52" t="s">
        <v>80</v>
      </c>
      <c r="E71" s="6"/>
      <c r="F71" s="51"/>
      <c r="G71" s="52" t="s">
        <v>82</v>
      </c>
      <c r="H71" s="4"/>
      <c r="I71" s="4"/>
      <c r="J71" s="51"/>
      <c r="K71" s="52" t="s">
        <v>88</v>
      </c>
      <c r="L71" s="4"/>
      <c r="M71" s="4"/>
      <c r="N71" s="4"/>
      <c r="O71" s="4"/>
      <c r="P71" s="18"/>
      <c r="Q71" s="18"/>
    </row>
    <row r="72" spans="1:17" s="5" customFormat="1" ht="16" thickBot="1" x14ac:dyDescent="0.25">
      <c r="A72" s="1">
        <f t="shared" si="2"/>
        <v>30</v>
      </c>
      <c r="B72" s="6" t="s">
        <v>121</v>
      </c>
      <c r="C72" s="51"/>
      <c r="D72" s="52" t="s">
        <v>80</v>
      </c>
      <c r="E72" s="6"/>
      <c r="F72" s="51"/>
      <c r="G72" s="52" t="s">
        <v>82</v>
      </c>
      <c r="H72" s="4"/>
      <c r="I72" s="4"/>
      <c r="J72" s="51"/>
      <c r="K72" s="52" t="s">
        <v>88</v>
      </c>
      <c r="L72" s="4"/>
      <c r="M72" s="4"/>
      <c r="N72" s="6"/>
      <c r="O72" s="6"/>
      <c r="P72" s="18"/>
      <c r="Q72" s="18"/>
    </row>
    <row r="73" spans="1:17" s="5" customFormat="1" ht="16" thickBot="1" x14ac:dyDescent="0.25">
      <c r="A73" s="1"/>
      <c r="B73" s="6"/>
      <c r="C73" s="51"/>
      <c r="D73" s="52"/>
      <c r="E73" s="6"/>
      <c r="F73" s="51"/>
      <c r="G73" s="52"/>
      <c r="H73" s="4"/>
      <c r="I73" s="4"/>
      <c r="J73" s="51"/>
      <c r="K73" s="52"/>
      <c r="L73" s="4"/>
      <c r="M73" s="4"/>
      <c r="N73" s="6"/>
      <c r="O73" s="6"/>
      <c r="P73" s="18"/>
      <c r="Q73" s="18"/>
    </row>
    <row r="74" spans="1:17" ht="16" thickBot="1" x14ac:dyDescent="0.25">
      <c r="A74" s="1">
        <f>A72+1</f>
        <v>31</v>
      </c>
      <c r="B74" s="4" t="s">
        <v>6</v>
      </c>
      <c r="C74" s="51"/>
      <c r="D74" s="52" t="s">
        <v>80</v>
      </c>
      <c r="E74" s="6"/>
      <c r="F74" s="51"/>
      <c r="G74" s="52" t="s">
        <v>82</v>
      </c>
      <c r="H74" s="4"/>
      <c r="I74" s="4"/>
      <c r="J74" s="51"/>
      <c r="K74" s="52" t="s">
        <v>88</v>
      </c>
      <c r="L74" s="4"/>
      <c r="M74" s="4"/>
      <c r="N74" s="4"/>
      <c r="O74" s="4"/>
      <c r="P74" s="18"/>
      <c r="Q74" s="18"/>
    </row>
    <row r="75" spans="1:17" ht="16" thickBot="1" x14ac:dyDescent="0.25">
      <c r="B75" s="4" t="s">
        <v>266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7" ht="16" thickBot="1" x14ac:dyDescent="0.25">
      <c r="A76" s="1">
        <f>A74+1</f>
        <v>32</v>
      </c>
      <c r="B76" s="26" t="s">
        <v>150</v>
      </c>
      <c r="C76" s="6"/>
      <c r="D76" s="4"/>
      <c r="E76" s="4"/>
      <c r="F76" s="6"/>
      <c r="G76" s="6"/>
      <c r="H76" s="6"/>
      <c r="I76" s="4" t="s">
        <v>81</v>
      </c>
      <c r="J76" s="51"/>
      <c r="K76" s="52" t="s">
        <v>80</v>
      </c>
      <c r="L76" s="4"/>
      <c r="M76" s="4"/>
      <c r="N76" s="4"/>
      <c r="O76" s="4"/>
    </row>
    <row r="77" spans="1:17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7" x14ac:dyDescent="0.2">
      <c r="B78" t="s">
        <v>253</v>
      </c>
      <c r="H78" s="4"/>
      <c r="I78" s="4"/>
      <c r="J78" s="4"/>
      <c r="K78" s="4"/>
      <c r="L78" s="4"/>
      <c r="M78" s="4"/>
      <c r="N78" s="4"/>
      <c r="O78" s="4"/>
    </row>
    <row r="79" spans="1:17" x14ac:dyDescent="0.2">
      <c r="G79" s="12"/>
      <c r="H79" s="4"/>
      <c r="I79" s="4"/>
      <c r="J79" s="4"/>
      <c r="K79" s="4"/>
      <c r="L79" s="4"/>
      <c r="M79" s="4"/>
      <c r="N79" s="4"/>
      <c r="O79" s="4"/>
    </row>
    <row r="80" spans="1:17" x14ac:dyDescent="0.2">
      <c r="G80" s="12"/>
    </row>
    <row r="81" spans="7:7" x14ac:dyDescent="0.2">
      <c r="G81" s="12"/>
    </row>
    <row r="82" spans="7:7" x14ac:dyDescent="0.2">
      <c r="G82" s="1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1" sqref="B1"/>
    </sheetView>
  </sheetViews>
  <sheetFormatPr baseColWidth="10" defaultColWidth="8.83203125" defaultRowHeight="15" x14ac:dyDescent="0.2"/>
  <cols>
    <col min="2" max="2" width="61.1640625" customWidth="1"/>
  </cols>
  <sheetData>
    <row r="1" spans="1:13" ht="16" thickBot="1" x14ac:dyDescent="0.25">
      <c r="A1" t="s">
        <v>135</v>
      </c>
      <c r="B1" s="1" t="s">
        <v>254</v>
      </c>
    </row>
    <row r="2" spans="1:13" ht="16" thickBot="1" x14ac:dyDescent="0.25">
      <c r="A2">
        <v>1</v>
      </c>
      <c r="B2" s="15" t="s">
        <v>73</v>
      </c>
      <c r="C2" s="21"/>
      <c r="D2" s="22"/>
      <c r="E2" s="21" t="s">
        <v>23</v>
      </c>
    </row>
    <row r="3" spans="1:13" ht="16" thickBot="1" x14ac:dyDescent="0.25">
      <c r="A3">
        <f>A2+1</f>
        <v>2</v>
      </c>
      <c r="B3" s="15" t="s">
        <v>74</v>
      </c>
      <c r="C3" s="21"/>
      <c r="D3" s="22"/>
      <c r="E3" s="21" t="s">
        <v>23</v>
      </c>
    </row>
    <row r="4" spans="1:13" ht="16" thickBot="1" x14ac:dyDescent="0.25">
      <c r="A4">
        <f t="shared" ref="A4:A5" si="0">A3+1</f>
        <v>3</v>
      </c>
      <c r="B4" s="15" t="s">
        <v>75</v>
      </c>
      <c r="C4" s="21"/>
      <c r="D4" s="22"/>
      <c r="E4" s="21" t="s">
        <v>23</v>
      </c>
    </row>
    <row r="5" spans="1:13" ht="16" thickBot="1" x14ac:dyDescent="0.25">
      <c r="A5">
        <f t="shared" si="0"/>
        <v>4</v>
      </c>
      <c r="B5" s="15" t="s">
        <v>76</v>
      </c>
      <c r="C5" s="21"/>
      <c r="D5" s="22"/>
      <c r="E5" s="21" t="s">
        <v>23</v>
      </c>
    </row>
    <row r="6" spans="1:13" ht="16" thickBot="1" x14ac:dyDescent="0.25">
      <c r="A6">
        <f t="shared" ref="A6:A7" si="1">A5+1</f>
        <v>5</v>
      </c>
      <c r="B6" s="15" t="s">
        <v>175</v>
      </c>
      <c r="C6" s="21"/>
      <c r="D6" s="22"/>
      <c r="E6" s="21" t="s">
        <v>23</v>
      </c>
    </row>
    <row r="7" spans="1:13" ht="16" thickBot="1" x14ac:dyDescent="0.25">
      <c r="A7">
        <f t="shared" si="1"/>
        <v>6</v>
      </c>
      <c r="B7" s="15" t="s">
        <v>176</v>
      </c>
      <c r="C7" s="21"/>
      <c r="D7" s="22"/>
      <c r="E7" s="21" t="s">
        <v>23</v>
      </c>
    </row>
    <row r="8" spans="1:13" x14ac:dyDescent="0.2">
      <c r="C8" s="5"/>
      <c r="D8" s="5"/>
      <c r="E8" s="5"/>
    </row>
    <row r="9" spans="1:13" x14ac:dyDescent="0.2">
      <c r="A9">
        <f>A7+1</f>
        <v>7</v>
      </c>
      <c r="B9" s="1" t="s">
        <v>50</v>
      </c>
      <c r="G9" s="1" t="s">
        <v>68</v>
      </c>
    </row>
    <row r="10" spans="1:13" ht="40" x14ac:dyDescent="0.2">
      <c r="B10" s="16" t="s">
        <v>234</v>
      </c>
      <c r="C10" s="23" t="s">
        <v>63</v>
      </c>
      <c r="D10" s="23" t="s">
        <v>45</v>
      </c>
      <c r="E10" s="23" t="s">
        <v>55</v>
      </c>
      <c r="G10" s="23" t="s">
        <v>70</v>
      </c>
      <c r="H10" s="23" t="s">
        <v>71</v>
      </c>
      <c r="I10" s="23" t="s">
        <v>72</v>
      </c>
      <c r="J10" s="23" t="s">
        <v>69</v>
      </c>
      <c r="K10" s="23" t="s">
        <v>56</v>
      </c>
      <c r="L10" s="23" t="s">
        <v>57</v>
      </c>
      <c r="M10" s="23" t="s">
        <v>58</v>
      </c>
    </row>
    <row r="11" spans="1:13" x14ac:dyDescent="0.2">
      <c r="B11" s="17">
        <v>40613</v>
      </c>
      <c r="C11" s="18"/>
      <c r="D11" s="18"/>
      <c r="E11" s="18"/>
      <c r="G11" s="18"/>
      <c r="H11" s="18"/>
      <c r="I11" s="18"/>
      <c r="J11" s="18"/>
      <c r="K11" s="18"/>
      <c r="L11" s="18"/>
      <c r="M11" s="18"/>
    </row>
    <row r="12" spans="1:13" x14ac:dyDescent="0.2">
      <c r="B12" s="19">
        <v>40644</v>
      </c>
      <c r="C12" s="18"/>
      <c r="D12" s="18"/>
      <c r="E12" s="18"/>
      <c r="G12" s="18"/>
      <c r="H12" s="18"/>
      <c r="I12" s="18"/>
      <c r="J12" s="18"/>
      <c r="K12" s="18"/>
      <c r="L12" s="18"/>
      <c r="M12" s="18"/>
    </row>
    <row r="13" spans="1:13" x14ac:dyDescent="0.2">
      <c r="B13" s="19">
        <v>40674</v>
      </c>
      <c r="C13" s="18"/>
      <c r="D13" s="18"/>
      <c r="E13" s="18"/>
      <c r="G13" s="18"/>
      <c r="H13" s="18"/>
      <c r="I13" s="18"/>
      <c r="J13" s="18"/>
      <c r="K13" s="18"/>
      <c r="L13" s="18"/>
      <c r="M13" s="18"/>
    </row>
    <row r="14" spans="1:13" x14ac:dyDescent="0.2">
      <c r="B14" s="19">
        <v>40705</v>
      </c>
      <c r="C14" s="18"/>
      <c r="D14" s="18"/>
      <c r="E14" s="18"/>
      <c r="G14" s="18"/>
      <c r="H14" s="18"/>
      <c r="I14" s="18"/>
      <c r="J14" s="18"/>
      <c r="K14" s="18"/>
      <c r="L14" s="18"/>
      <c r="M14" s="18"/>
    </row>
    <row r="15" spans="1:13" x14ac:dyDescent="0.2">
      <c r="B15" s="17">
        <v>40735</v>
      </c>
      <c r="C15" s="18"/>
      <c r="D15" s="18"/>
      <c r="E15" s="18"/>
      <c r="G15" s="18"/>
      <c r="H15" s="18"/>
      <c r="I15" s="18"/>
      <c r="J15" s="18"/>
      <c r="K15" s="18"/>
      <c r="L15" s="18"/>
      <c r="M15" s="18"/>
    </row>
    <row r="16" spans="1:13" x14ac:dyDescent="0.2">
      <c r="B16" s="19">
        <v>40766</v>
      </c>
      <c r="C16" s="18"/>
      <c r="D16" s="18"/>
      <c r="E16" s="18"/>
      <c r="G16" s="18"/>
      <c r="H16" s="18"/>
      <c r="I16" s="18"/>
      <c r="J16" s="18"/>
      <c r="K16" s="18"/>
      <c r="L16" s="18"/>
      <c r="M16" s="18"/>
    </row>
    <row r="17" spans="2:13" x14ac:dyDescent="0.2">
      <c r="B17" s="19">
        <v>40797</v>
      </c>
      <c r="C17" s="18"/>
      <c r="D17" s="18"/>
      <c r="E17" s="18"/>
      <c r="G17" s="18"/>
      <c r="H17" s="18"/>
      <c r="I17" s="18"/>
      <c r="J17" s="18"/>
      <c r="K17" s="18"/>
      <c r="L17" s="18"/>
      <c r="M17" s="18"/>
    </row>
    <row r="18" spans="2:13" x14ac:dyDescent="0.2">
      <c r="B18" s="17">
        <v>40827</v>
      </c>
      <c r="C18" s="18"/>
      <c r="D18" s="18"/>
      <c r="E18" s="18"/>
      <c r="G18" s="18"/>
      <c r="H18" s="18"/>
      <c r="I18" s="18"/>
      <c r="J18" s="18"/>
      <c r="K18" s="18"/>
      <c r="L18" s="18"/>
      <c r="M18" s="18"/>
    </row>
    <row r="19" spans="2:13" x14ac:dyDescent="0.2">
      <c r="B19" s="19">
        <v>40858</v>
      </c>
      <c r="C19" s="18"/>
      <c r="D19" s="18"/>
      <c r="E19" s="18"/>
      <c r="G19" s="18"/>
      <c r="H19" s="18"/>
      <c r="I19" s="18"/>
      <c r="J19" s="18"/>
      <c r="K19" s="18"/>
      <c r="L19" s="18"/>
      <c r="M19" s="18"/>
    </row>
    <row r="20" spans="2:13" x14ac:dyDescent="0.2">
      <c r="B20" s="19">
        <v>40888</v>
      </c>
      <c r="C20" s="18"/>
      <c r="D20" s="18"/>
      <c r="E20" s="18"/>
      <c r="G20" s="18"/>
      <c r="H20" s="18"/>
      <c r="I20" s="18"/>
      <c r="J20" s="18"/>
      <c r="K20" s="18"/>
      <c r="L20" s="18"/>
      <c r="M20" s="18"/>
    </row>
    <row r="21" spans="2:13" x14ac:dyDescent="0.2">
      <c r="B21" s="19">
        <v>40919</v>
      </c>
      <c r="C21" s="18"/>
      <c r="D21" s="18"/>
      <c r="E21" s="18"/>
      <c r="G21" s="18"/>
      <c r="H21" s="18"/>
      <c r="I21" s="18"/>
      <c r="J21" s="18"/>
      <c r="K21" s="18"/>
      <c r="L21" s="18"/>
      <c r="M21" s="18"/>
    </row>
    <row r="22" spans="2:13" x14ac:dyDescent="0.2">
      <c r="B22" s="19">
        <v>40950</v>
      </c>
      <c r="C22" s="18"/>
      <c r="D22" s="18"/>
      <c r="E22" s="18"/>
      <c r="G22" s="18"/>
      <c r="H22" s="18"/>
      <c r="I22" s="18"/>
      <c r="J22" s="18"/>
      <c r="K22" s="18"/>
      <c r="L22" s="18"/>
      <c r="M22" s="18"/>
    </row>
    <row r="23" spans="2:13" x14ac:dyDescent="0.2">
      <c r="B23" s="19">
        <v>40979</v>
      </c>
      <c r="C23" s="18"/>
      <c r="D23" s="18"/>
      <c r="E23" s="18"/>
      <c r="G23" s="18"/>
      <c r="H23" s="18"/>
      <c r="I23" s="18"/>
      <c r="J23" s="18"/>
      <c r="K23" s="18"/>
      <c r="L23" s="18"/>
      <c r="M23" s="1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F23" sqref="F23"/>
    </sheetView>
  </sheetViews>
  <sheetFormatPr baseColWidth="10" defaultColWidth="8.83203125" defaultRowHeight="15" x14ac:dyDescent="0.2"/>
  <cols>
    <col min="1" max="1" width="14.5" customWidth="1"/>
    <col min="2" max="2" width="61.1640625" customWidth="1"/>
    <col min="3" max="3" width="17.33203125" style="9" customWidth="1"/>
    <col min="4" max="4" width="21.6640625" customWidth="1"/>
    <col min="5" max="5" width="13.83203125" customWidth="1"/>
    <col min="6" max="6" width="22.5" customWidth="1"/>
    <col min="7" max="7" width="13.83203125" customWidth="1"/>
    <col min="8" max="8" width="16.33203125" customWidth="1"/>
  </cols>
  <sheetData>
    <row r="1" spans="1:16" s="4" customFormat="1" x14ac:dyDescent="0.2">
      <c r="A1" s="1" t="s">
        <v>149</v>
      </c>
      <c r="B1" s="36" t="s">
        <v>101</v>
      </c>
      <c r="C1" s="145"/>
      <c r="D1" s="82"/>
      <c r="E1" s="82"/>
      <c r="F1" s="82"/>
      <c r="G1" s="82"/>
      <c r="H1" s="27"/>
      <c r="I1" s="1"/>
      <c r="J1" s="1"/>
      <c r="K1" s="1"/>
      <c r="L1" s="1"/>
      <c r="M1" s="1"/>
      <c r="N1" s="1"/>
      <c r="O1" s="1"/>
      <c r="P1" s="1"/>
    </row>
    <row r="2" spans="1:16" s="4" customFormat="1" ht="16" thickBot="1" x14ac:dyDescent="0.25">
      <c r="A2" s="1"/>
      <c r="B2" s="36" t="s">
        <v>194</v>
      </c>
      <c r="C2" s="145"/>
      <c r="D2" s="82"/>
      <c r="E2" s="82"/>
      <c r="F2" s="82"/>
      <c r="G2" s="82"/>
      <c r="H2" s="27"/>
      <c r="I2" s="1"/>
      <c r="J2" s="1"/>
      <c r="K2" s="1"/>
      <c r="L2" s="1"/>
      <c r="M2" s="1"/>
      <c r="N2" s="1"/>
      <c r="O2" s="1"/>
      <c r="P2" s="1"/>
    </row>
    <row r="3" spans="1:16" ht="16" thickBot="1" x14ac:dyDescent="0.25">
      <c r="A3" s="1">
        <v>1</v>
      </c>
      <c r="B3" s="1" t="s">
        <v>94</v>
      </c>
      <c r="C3" s="146">
        <f>H41</f>
        <v>1355.1899999999998</v>
      </c>
      <c r="D3" s="52" t="s">
        <v>170</v>
      </c>
      <c r="E3" s="51">
        <v>5</v>
      </c>
      <c r="F3" s="52" t="s">
        <v>171</v>
      </c>
      <c r="G3" s="51">
        <f>C3*E3</f>
        <v>6775.9499999999989</v>
      </c>
      <c r="H3" s="52" t="s">
        <v>169</v>
      </c>
      <c r="I3" s="51"/>
      <c r="J3" s="52" t="s">
        <v>89</v>
      </c>
      <c r="K3" s="1"/>
      <c r="L3" s="1"/>
      <c r="M3" s="51" t="e">
        <f>G3/I3</f>
        <v>#DIV/0!</v>
      </c>
      <c r="N3" s="52" t="s">
        <v>88</v>
      </c>
      <c r="O3" s="1"/>
      <c r="P3" s="1"/>
    </row>
    <row r="4" spans="1:16" ht="16" thickBot="1" x14ac:dyDescent="0.25">
      <c r="A4" s="1">
        <f>A3+1</f>
        <v>2</v>
      </c>
      <c r="B4" s="1" t="s">
        <v>255</v>
      </c>
      <c r="C4" s="146">
        <v>500</v>
      </c>
      <c r="D4" s="52" t="s">
        <v>170</v>
      </c>
      <c r="E4" s="51">
        <v>12</v>
      </c>
      <c r="F4" s="52" t="s">
        <v>171</v>
      </c>
      <c r="G4" s="51">
        <f>C4*E4</f>
        <v>6000</v>
      </c>
      <c r="H4" s="52" t="s">
        <v>169</v>
      </c>
      <c r="I4" s="51"/>
      <c r="J4" s="52" t="s">
        <v>89</v>
      </c>
      <c r="K4" s="1"/>
      <c r="L4" s="1"/>
      <c r="M4" s="51" t="e">
        <f>G4/I4</f>
        <v>#DIV/0!</v>
      </c>
      <c r="N4" s="52" t="s">
        <v>88</v>
      </c>
      <c r="O4" s="1"/>
      <c r="P4" s="1"/>
    </row>
    <row r="5" spans="1:16" ht="16" thickBot="1" x14ac:dyDescent="0.25">
      <c r="A5" s="1">
        <f t="shared" ref="A5:A9" si="0">A4+1</f>
        <v>3</v>
      </c>
      <c r="B5" s="1" t="s">
        <v>7</v>
      </c>
      <c r="C5" s="146"/>
      <c r="D5" s="52" t="s">
        <v>170</v>
      </c>
      <c r="E5" s="51"/>
      <c r="F5" s="52" t="s">
        <v>171</v>
      </c>
      <c r="G5" s="51">
        <f t="shared" ref="G5:G6" si="1">C5*E5</f>
        <v>0</v>
      </c>
      <c r="H5" s="52" t="s">
        <v>169</v>
      </c>
      <c r="I5" s="51"/>
      <c r="J5" s="52" t="s">
        <v>89</v>
      </c>
      <c r="K5" s="1"/>
      <c r="L5" s="1"/>
      <c r="M5" s="51" t="e">
        <f t="shared" ref="M5:M9" si="2">G5/I5</f>
        <v>#DIV/0!</v>
      </c>
      <c r="N5" s="52" t="s">
        <v>88</v>
      </c>
      <c r="O5" s="1"/>
      <c r="P5" s="1"/>
    </row>
    <row r="6" spans="1:16" ht="16" thickBot="1" x14ac:dyDescent="0.25">
      <c r="A6" s="1">
        <f t="shared" si="0"/>
        <v>4</v>
      </c>
      <c r="B6" s="1" t="s">
        <v>8</v>
      </c>
      <c r="C6" s="146"/>
      <c r="D6" s="52" t="s">
        <v>170</v>
      </c>
      <c r="E6" s="51"/>
      <c r="F6" s="52" t="s">
        <v>171</v>
      </c>
      <c r="G6" s="51">
        <f t="shared" si="1"/>
        <v>0</v>
      </c>
      <c r="H6" s="52" t="s">
        <v>169</v>
      </c>
      <c r="I6" s="51"/>
      <c r="J6" s="52" t="s">
        <v>89</v>
      </c>
      <c r="K6" s="1"/>
      <c r="L6" s="1"/>
      <c r="M6" s="51" t="e">
        <f t="shared" si="2"/>
        <v>#DIV/0!</v>
      </c>
      <c r="N6" s="52" t="s">
        <v>88</v>
      </c>
      <c r="O6" s="1"/>
      <c r="P6" s="1"/>
    </row>
    <row r="7" spans="1:16" ht="16" thickBot="1" x14ac:dyDescent="0.25">
      <c r="A7" s="1">
        <f t="shared" si="0"/>
        <v>5</v>
      </c>
      <c r="B7" s="1" t="s">
        <v>96</v>
      </c>
      <c r="C7" s="146"/>
      <c r="D7" s="52" t="s">
        <v>98</v>
      </c>
      <c r="E7" s="1"/>
      <c r="F7" s="1"/>
      <c r="G7" s="51">
        <f>C7</f>
        <v>0</v>
      </c>
      <c r="H7" s="52" t="s">
        <v>169</v>
      </c>
      <c r="I7" s="51"/>
      <c r="J7" s="52" t="s">
        <v>89</v>
      </c>
      <c r="K7" s="1"/>
      <c r="L7" s="1"/>
      <c r="M7" s="51" t="e">
        <f t="shared" si="2"/>
        <v>#DIV/0!</v>
      </c>
      <c r="N7" s="52" t="s">
        <v>88</v>
      </c>
      <c r="O7" s="1"/>
      <c r="P7" s="1"/>
    </row>
    <row r="8" spans="1:16" ht="16" thickBot="1" x14ac:dyDescent="0.25">
      <c r="A8" s="1">
        <f t="shared" si="0"/>
        <v>6</v>
      </c>
      <c r="B8" s="1" t="s">
        <v>99</v>
      </c>
      <c r="C8" s="146"/>
      <c r="D8" s="52" t="s">
        <v>98</v>
      </c>
      <c r="E8" s="1"/>
      <c r="F8" s="1"/>
      <c r="G8" s="51">
        <f t="shared" ref="G8:G9" si="3">C8</f>
        <v>0</v>
      </c>
      <c r="H8" s="52" t="s">
        <v>169</v>
      </c>
      <c r="I8" s="51"/>
      <c r="J8" s="52" t="s">
        <v>89</v>
      </c>
      <c r="K8" s="1"/>
      <c r="L8" s="1"/>
      <c r="M8" s="51" t="e">
        <f t="shared" si="2"/>
        <v>#DIV/0!</v>
      </c>
      <c r="N8" s="52" t="s">
        <v>88</v>
      </c>
      <c r="O8" s="1"/>
      <c r="P8" s="1"/>
    </row>
    <row r="9" spans="1:16" ht="16" thickBot="1" x14ac:dyDescent="0.25">
      <c r="A9" s="1">
        <f t="shared" si="0"/>
        <v>7</v>
      </c>
      <c r="B9" s="1" t="s">
        <v>97</v>
      </c>
      <c r="C9" s="146"/>
      <c r="D9" s="52" t="s">
        <v>98</v>
      </c>
      <c r="E9" s="1"/>
      <c r="F9" s="1"/>
      <c r="G9" s="51">
        <f t="shared" si="3"/>
        <v>0</v>
      </c>
      <c r="H9" s="52" t="s">
        <v>169</v>
      </c>
      <c r="I9" s="51"/>
      <c r="J9" s="52" t="s">
        <v>89</v>
      </c>
      <c r="K9" s="1"/>
      <c r="L9" s="1"/>
      <c r="M9" s="51" t="e">
        <f t="shared" si="2"/>
        <v>#DIV/0!</v>
      </c>
      <c r="N9" s="52" t="s">
        <v>88</v>
      </c>
      <c r="O9" s="1"/>
      <c r="P9" s="1"/>
    </row>
    <row r="10" spans="1:16" ht="16" thickBot="1" x14ac:dyDescent="0.25">
      <c r="A10" s="1"/>
      <c r="B10" s="1" t="s">
        <v>195</v>
      </c>
      <c r="C10" s="143"/>
      <c r="D10" s="1"/>
      <c r="E10" s="1"/>
      <c r="F10" s="1"/>
      <c r="G10" s="1"/>
      <c r="H10" s="1"/>
      <c r="I10" s="1"/>
      <c r="J10" s="1"/>
      <c r="K10" s="1"/>
      <c r="L10" s="1"/>
      <c r="M10" s="51" t="e">
        <f>SUM(M3:M9)</f>
        <v>#DIV/0!</v>
      </c>
      <c r="N10" s="52" t="s">
        <v>88</v>
      </c>
      <c r="O10" s="1"/>
      <c r="P10" s="1"/>
    </row>
    <row r="11" spans="1:16" ht="16" thickBot="1" x14ac:dyDescent="0.25">
      <c r="A11" s="1"/>
      <c r="B11" s="1" t="s">
        <v>200</v>
      </c>
      <c r="C11" s="143"/>
      <c r="D11" s="1"/>
      <c r="E11" s="1"/>
      <c r="F11" s="1"/>
      <c r="G11" s="1"/>
      <c r="H11" s="1"/>
      <c r="I11" s="1"/>
      <c r="J11" s="1"/>
      <c r="K11" s="1"/>
      <c r="L11" s="1"/>
      <c r="M11" s="51" t="e">
        <f>M10*Testing!H14</f>
        <v>#DIV/0!</v>
      </c>
      <c r="N11" s="52"/>
      <c r="O11" s="1"/>
      <c r="P11" s="1"/>
    </row>
    <row r="12" spans="1:16" x14ac:dyDescent="0.2">
      <c r="A12" s="1"/>
      <c r="B12" s="1"/>
      <c r="C12" s="14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s="4" customFormat="1" ht="16" thickBot="1" x14ac:dyDescent="0.25">
      <c r="A13" s="1"/>
      <c r="B13" s="36" t="s">
        <v>205</v>
      </c>
      <c r="C13" s="145"/>
      <c r="D13" s="82"/>
      <c r="E13" s="82"/>
      <c r="F13" s="82"/>
      <c r="G13" s="82"/>
      <c r="H13" s="27"/>
      <c r="I13" s="1"/>
      <c r="J13" s="1"/>
      <c r="K13" s="1"/>
      <c r="L13" s="1"/>
      <c r="M13" s="1"/>
      <c r="N13" s="1"/>
      <c r="O13" s="1"/>
      <c r="P13" s="1"/>
    </row>
    <row r="14" spans="1:16" ht="16" thickBot="1" x14ac:dyDescent="0.25">
      <c r="A14" s="1">
        <v>1</v>
      </c>
      <c r="B14" s="1" t="s">
        <v>94</v>
      </c>
      <c r="C14" s="146"/>
      <c r="D14" s="52" t="s">
        <v>170</v>
      </c>
      <c r="E14" s="51"/>
      <c r="F14" s="52" t="s">
        <v>171</v>
      </c>
      <c r="G14" s="51">
        <f>C14*E14</f>
        <v>0</v>
      </c>
      <c r="H14" s="52" t="s">
        <v>169</v>
      </c>
      <c r="I14" s="51"/>
      <c r="J14" s="52" t="s">
        <v>89</v>
      </c>
      <c r="K14" s="1"/>
      <c r="L14" s="1"/>
      <c r="M14" s="51" t="e">
        <f>G14/I14</f>
        <v>#DIV/0!</v>
      </c>
      <c r="N14" s="52" t="s">
        <v>88</v>
      </c>
      <c r="O14" s="1"/>
      <c r="P14" s="1"/>
    </row>
    <row r="15" spans="1:16" ht="16" thickBot="1" x14ac:dyDescent="0.25">
      <c r="A15" s="1">
        <f>A14+1</f>
        <v>2</v>
      </c>
      <c r="B15" s="1" t="s">
        <v>95</v>
      </c>
      <c r="C15" s="146"/>
      <c r="D15" s="52" t="s">
        <v>170</v>
      </c>
      <c r="E15" s="51"/>
      <c r="F15" s="52" t="s">
        <v>171</v>
      </c>
      <c r="G15" s="51">
        <f>C15*E15</f>
        <v>0</v>
      </c>
      <c r="H15" s="52" t="s">
        <v>169</v>
      </c>
      <c r="I15" s="51"/>
      <c r="J15" s="52" t="s">
        <v>89</v>
      </c>
      <c r="K15" s="1"/>
      <c r="L15" s="1"/>
      <c r="M15" s="51" t="e">
        <f>G15/I15</f>
        <v>#DIV/0!</v>
      </c>
      <c r="N15" s="52" t="s">
        <v>88</v>
      </c>
      <c r="O15" s="1"/>
      <c r="P15" s="1"/>
    </row>
    <row r="16" spans="1:16" ht="16" thickBot="1" x14ac:dyDescent="0.25">
      <c r="A16" s="1">
        <f t="shared" ref="A16:A20" si="4">A15+1</f>
        <v>3</v>
      </c>
      <c r="B16" s="1" t="s">
        <v>7</v>
      </c>
      <c r="C16" s="146"/>
      <c r="D16" s="52" t="s">
        <v>170</v>
      </c>
      <c r="E16" s="51"/>
      <c r="F16" s="52" t="s">
        <v>171</v>
      </c>
      <c r="G16" s="51">
        <f t="shared" ref="G16:G17" si="5">C16*E16</f>
        <v>0</v>
      </c>
      <c r="H16" s="52" t="s">
        <v>169</v>
      </c>
      <c r="I16" s="51"/>
      <c r="J16" s="52" t="s">
        <v>89</v>
      </c>
      <c r="K16" s="1"/>
      <c r="L16" s="1"/>
      <c r="M16" s="51" t="e">
        <f t="shared" ref="M16:M20" si="6">G16/I16</f>
        <v>#DIV/0!</v>
      </c>
      <c r="N16" s="52" t="s">
        <v>88</v>
      </c>
      <c r="O16" s="1"/>
      <c r="P16" s="1"/>
    </row>
    <row r="17" spans="1:16" ht="16" thickBot="1" x14ac:dyDescent="0.25">
      <c r="A17" s="1">
        <f t="shared" si="4"/>
        <v>4</v>
      </c>
      <c r="B17" s="1" t="s">
        <v>8</v>
      </c>
      <c r="C17" s="146"/>
      <c r="D17" s="52" t="s">
        <v>170</v>
      </c>
      <c r="E17" s="51"/>
      <c r="F17" s="52" t="s">
        <v>171</v>
      </c>
      <c r="G17" s="51">
        <f t="shared" si="5"/>
        <v>0</v>
      </c>
      <c r="H17" s="52" t="s">
        <v>169</v>
      </c>
      <c r="I17" s="51"/>
      <c r="J17" s="52" t="s">
        <v>89</v>
      </c>
      <c r="K17" s="1"/>
      <c r="L17" s="1"/>
      <c r="M17" s="51" t="e">
        <f t="shared" si="6"/>
        <v>#DIV/0!</v>
      </c>
      <c r="N17" s="52" t="s">
        <v>88</v>
      </c>
      <c r="O17" s="1"/>
      <c r="P17" s="1"/>
    </row>
    <row r="18" spans="1:16" ht="16" thickBot="1" x14ac:dyDescent="0.25">
      <c r="A18" s="1">
        <f t="shared" si="4"/>
        <v>5</v>
      </c>
      <c r="B18" s="1" t="s">
        <v>378</v>
      </c>
      <c r="C18" s="146">
        <f>E36/B38</f>
        <v>37336.244541484717</v>
      </c>
      <c r="D18" s="52" t="s">
        <v>98</v>
      </c>
      <c r="E18" s="1"/>
      <c r="F18" s="1"/>
      <c r="G18" s="51">
        <f>C18</f>
        <v>37336.244541484717</v>
      </c>
      <c r="H18" s="52" t="s">
        <v>169</v>
      </c>
      <c r="I18" s="51"/>
      <c r="J18" s="52" t="s">
        <v>89</v>
      </c>
      <c r="K18" s="1"/>
      <c r="L18" s="1"/>
      <c r="M18" s="51" t="e">
        <f t="shared" si="6"/>
        <v>#DIV/0!</v>
      </c>
      <c r="N18" s="52" t="s">
        <v>88</v>
      </c>
      <c r="O18" s="1"/>
      <c r="P18" s="1"/>
    </row>
    <row r="19" spans="1:16" ht="16" thickBot="1" x14ac:dyDescent="0.25">
      <c r="A19" s="1">
        <f t="shared" si="4"/>
        <v>6</v>
      </c>
      <c r="B19" s="1" t="s">
        <v>99</v>
      </c>
      <c r="C19" s="146"/>
      <c r="D19" s="52" t="s">
        <v>98</v>
      </c>
      <c r="E19" s="1"/>
      <c r="F19" s="1"/>
      <c r="G19" s="51">
        <f t="shared" ref="G19:G20" si="7">C19</f>
        <v>0</v>
      </c>
      <c r="H19" s="52" t="s">
        <v>169</v>
      </c>
      <c r="I19" s="51"/>
      <c r="J19" s="52" t="s">
        <v>89</v>
      </c>
      <c r="K19" s="1"/>
      <c r="L19" s="1"/>
      <c r="M19" s="51" t="e">
        <f t="shared" si="6"/>
        <v>#DIV/0!</v>
      </c>
      <c r="N19" s="52" t="s">
        <v>88</v>
      </c>
      <c r="O19" s="1"/>
      <c r="P19" s="1"/>
    </row>
    <row r="20" spans="1:16" ht="16" thickBot="1" x14ac:dyDescent="0.25">
      <c r="A20" s="1">
        <f t="shared" si="4"/>
        <v>7</v>
      </c>
      <c r="B20" s="1" t="s">
        <v>97</v>
      </c>
      <c r="C20" s="146"/>
      <c r="D20" s="52" t="s">
        <v>98</v>
      </c>
      <c r="E20" s="1"/>
      <c r="F20" s="1"/>
      <c r="G20" s="51">
        <f t="shared" si="7"/>
        <v>0</v>
      </c>
      <c r="H20" s="52" t="s">
        <v>169</v>
      </c>
      <c r="I20" s="51"/>
      <c r="J20" s="52" t="s">
        <v>89</v>
      </c>
      <c r="K20" s="1"/>
      <c r="L20" s="1"/>
      <c r="M20" s="51" t="e">
        <f t="shared" si="6"/>
        <v>#DIV/0!</v>
      </c>
      <c r="N20" s="52" t="s">
        <v>88</v>
      </c>
      <c r="O20" s="1"/>
      <c r="P20" s="1"/>
    </row>
    <row r="21" spans="1:16" ht="16" thickBot="1" x14ac:dyDescent="0.25">
      <c r="A21" s="1"/>
      <c r="B21" s="1" t="s">
        <v>206</v>
      </c>
      <c r="C21" s="143"/>
      <c r="D21" s="1"/>
      <c r="E21" s="1"/>
      <c r="F21" s="1"/>
      <c r="G21" s="1"/>
      <c r="H21" s="1"/>
      <c r="I21" s="1"/>
      <c r="J21" s="1"/>
      <c r="K21" s="1"/>
      <c r="L21" s="1"/>
      <c r="M21" s="51" t="e">
        <f>SUM(M14:M20)</f>
        <v>#DIV/0!</v>
      </c>
      <c r="N21" s="52" t="s">
        <v>88</v>
      </c>
      <c r="O21" s="1"/>
      <c r="P21" s="1"/>
    </row>
    <row r="22" spans="1:16" ht="16" thickBot="1" x14ac:dyDescent="0.25">
      <c r="A22" s="1"/>
      <c r="B22" s="1" t="s">
        <v>207</v>
      </c>
      <c r="C22" s="143"/>
      <c r="D22" s="1"/>
      <c r="E22" s="1"/>
      <c r="F22" s="1"/>
      <c r="G22" s="1"/>
      <c r="H22" s="1"/>
      <c r="I22" s="1"/>
      <c r="J22" s="1"/>
      <c r="K22" s="1"/>
      <c r="L22" s="1"/>
      <c r="M22" s="51" t="e">
        <f>M21*Testing!H15</f>
        <v>#DIV/0!</v>
      </c>
      <c r="N22" s="52"/>
      <c r="O22" s="1"/>
      <c r="P22" s="1"/>
    </row>
    <row r="23" spans="1:16" x14ac:dyDescent="0.2">
      <c r="A23" s="1"/>
      <c r="B23" s="1"/>
      <c r="C23" s="14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6" thickBot="1" x14ac:dyDescent="0.25">
      <c r="B24" s="36" t="s">
        <v>196</v>
      </c>
      <c r="C24" s="145"/>
      <c r="D24" s="82"/>
      <c r="E24" s="82"/>
      <c r="F24" s="82"/>
      <c r="G24" s="82"/>
      <c r="H24" s="27"/>
      <c r="I24" s="1"/>
      <c r="J24" s="1"/>
      <c r="K24" s="1"/>
      <c r="L24" s="1"/>
      <c r="M24" s="1"/>
      <c r="N24" s="1"/>
      <c r="O24" s="1"/>
      <c r="P24" s="1"/>
    </row>
    <row r="25" spans="1:16" ht="16" thickBot="1" x14ac:dyDescent="0.25">
      <c r="A25" s="1">
        <f>A9+1</f>
        <v>8</v>
      </c>
      <c r="B25" s="1" t="s">
        <v>94</v>
      </c>
      <c r="C25" s="146"/>
      <c r="D25" s="52" t="s">
        <v>170</v>
      </c>
      <c r="E25" s="51"/>
      <c r="F25" s="52" t="s">
        <v>171</v>
      </c>
      <c r="G25" s="51">
        <f>C25*E25</f>
        <v>0</v>
      </c>
      <c r="H25" s="52" t="s">
        <v>169</v>
      </c>
      <c r="I25" s="51"/>
      <c r="J25" s="52" t="s">
        <v>197</v>
      </c>
      <c r="K25" s="1"/>
      <c r="L25" s="1"/>
      <c r="M25" s="51" t="e">
        <f>G25/I25</f>
        <v>#DIV/0!</v>
      </c>
      <c r="N25" s="52" t="s">
        <v>198</v>
      </c>
      <c r="O25" s="1"/>
      <c r="P25" s="1"/>
    </row>
    <row r="26" spans="1:16" ht="16" thickBot="1" x14ac:dyDescent="0.25">
      <c r="A26" s="1">
        <f>A25+1</f>
        <v>9</v>
      </c>
      <c r="B26" s="1" t="s">
        <v>95</v>
      </c>
      <c r="C26" s="146"/>
      <c r="D26" s="52" t="s">
        <v>170</v>
      </c>
      <c r="E26" s="51"/>
      <c r="F26" s="52" t="s">
        <v>171</v>
      </c>
      <c r="G26" s="51">
        <f>C26*E26</f>
        <v>0</v>
      </c>
      <c r="H26" s="52" t="s">
        <v>169</v>
      </c>
      <c r="I26" s="51"/>
      <c r="J26" s="52" t="s">
        <v>197</v>
      </c>
      <c r="K26" s="1"/>
      <c r="L26" s="1"/>
      <c r="M26" s="51" t="e">
        <f>G26/I26</f>
        <v>#DIV/0!</v>
      </c>
      <c r="N26" s="52" t="s">
        <v>198</v>
      </c>
      <c r="O26" s="1"/>
      <c r="P26" s="1"/>
    </row>
    <row r="27" spans="1:16" ht="16" thickBot="1" x14ac:dyDescent="0.25">
      <c r="A27" s="1">
        <f t="shared" ref="A27:A31" si="8">A26+1</f>
        <v>10</v>
      </c>
      <c r="B27" s="1" t="s">
        <v>7</v>
      </c>
      <c r="C27" s="146"/>
      <c r="D27" s="52" t="s">
        <v>170</v>
      </c>
      <c r="E27" s="51"/>
      <c r="F27" s="52" t="s">
        <v>171</v>
      </c>
      <c r="G27" s="51">
        <f t="shared" ref="G27:G28" si="9">C27*E27</f>
        <v>0</v>
      </c>
      <c r="H27" s="52" t="s">
        <v>169</v>
      </c>
      <c r="I27" s="51"/>
      <c r="J27" s="52" t="s">
        <v>197</v>
      </c>
      <c r="K27" s="1"/>
      <c r="L27" s="1"/>
      <c r="M27" s="51" t="e">
        <f t="shared" ref="M27:M31" si="10">G27/I27</f>
        <v>#DIV/0!</v>
      </c>
      <c r="N27" s="52" t="s">
        <v>198</v>
      </c>
      <c r="O27" s="1"/>
      <c r="P27" s="1"/>
    </row>
    <row r="28" spans="1:16" ht="16" thickBot="1" x14ac:dyDescent="0.25">
      <c r="A28" s="1">
        <f t="shared" si="8"/>
        <v>11</v>
      </c>
      <c r="B28" s="1" t="s">
        <v>8</v>
      </c>
      <c r="C28" s="146"/>
      <c r="D28" s="52" t="s">
        <v>170</v>
      </c>
      <c r="E28" s="51"/>
      <c r="F28" s="52" t="s">
        <v>171</v>
      </c>
      <c r="G28" s="51">
        <f t="shared" si="9"/>
        <v>0</v>
      </c>
      <c r="H28" s="52" t="s">
        <v>169</v>
      </c>
      <c r="I28" s="51"/>
      <c r="J28" s="52" t="s">
        <v>197</v>
      </c>
      <c r="K28" s="1"/>
      <c r="L28" s="1"/>
      <c r="M28" s="51" t="e">
        <f t="shared" si="10"/>
        <v>#DIV/0!</v>
      </c>
      <c r="N28" s="52" t="s">
        <v>198</v>
      </c>
      <c r="O28" s="1"/>
      <c r="P28" s="1"/>
    </row>
    <row r="29" spans="1:16" ht="16" thickBot="1" x14ac:dyDescent="0.25">
      <c r="A29" s="1">
        <f t="shared" si="8"/>
        <v>12</v>
      </c>
      <c r="B29" s="1" t="s">
        <v>96</v>
      </c>
      <c r="C29" s="146"/>
      <c r="D29" s="52" t="s">
        <v>98</v>
      </c>
      <c r="E29" s="1"/>
      <c r="F29" s="1"/>
      <c r="G29" s="51">
        <f>C29</f>
        <v>0</v>
      </c>
      <c r="H29" s="52" t="s">
        <v>169</v>
      </c>
      <c r="I29" s="51"/>
      <c r="J29" s="52" t="s">
        <v>197</v>
      </c>
      <c r="K29" s="1"/>
      <c r="L29" s="1"/>
      <c r="M29" s="51" t="e">
        <f t="shared" si="10"/>
        <v>#DIV/0!</v>
      </c>
      <c r="N29" s="52" t="s">
        <v>198</v>
      </c>
      <c r="O29" s="1"/>
      <c r="P29" s="1"/>
    </row>
    <row r="30" spans="1:16" ht="16" thickBot="1" x14ac:dyDescent="0.25">
      <c r="A30" s="1">
        <f t="shared" si="8"/>
        <v>13</v>
      </c>
      <c r="B30" s="1" t="s">
        <v>99</v>
      </c>
      <c r="C30" s="146"/>
      <c r="D30" s="52" t="s">
        <v>98</v>
      </c>
      <c r="E30" s="1"/>
      <c r="F30" s="1"/>
      <c r="G30" s="51">
        <f t="shared" ref="G30:G31" si="11">C30</f>
        <v>0</v>
      </c>
      <c r="H30" s="52" t="s">
        <v>169</v>
      </c>
      <c r="I30" s="51"/>
      <c r="J30" s="52" t="s">
        <v>197</v>
      </c>
      <c r="K30" s="1"/>
      <c r="L30" s="1"/>
      <c r="M30" s="51" t="e">
        <f t="shared" si="10"/>
        <v>#DIV/0!</v>
      </c>
      <c r="N30" s="52" t="s">
        <v>198</v>
      </c>
      <c r="O30" s="1"/>
      <c r="P30" s="1"/>
    </row>
    <row r="31" spans="1:16" ht="16" thickBot="1" x14ac:dyDescent="0.25">
      <c r="A31" s="1">
        <f t="shared" si="8"/>
        <v>14</v>
      </c>
      <c r="B31" s="1" t="s">
        <v>97</v>
      </c>
      <c r="C31" s="146"/>
      <c r="D31" s="52" t="s">
        <v>98</v>
      </c>
      <c r="E31" s="1"/>
      <c r="F31" s="1"/>
      <c r="G31" s="51">
        <f t="shared" si="11"/>
        <v>0</v>
      </c>
      <c r="H31" s="52" t="s">
        <v>169</v>
      </c>
      <c r="I31" s="51"/>
      <c r="J31" s="52" t="s">
        <v>197</v>
      </c>
      <c r="K31" s="1"/>
      <c r="L31" s="1"/>
      <c r="M31" s="51" t="e">
        <f t="shared" si="10"/>
        <v>#DIV/0!</v>
      </c>
      <c r="N31" s="52" t="s">
        <v>198</v>
      </c>
      <c r="O31" s="1"/>
      <c r="P31" s="1"/>
    </row>
    <row r="32" spans="1:16" x14ac:dyDescent="0.2">
      <c r="B32" s="1" t="s">
        <v>199</v>
      </c>
      <c r="C32" s="143"/>
      <c r="D32" s="1"/>
      <c r="E32" s="1"/>
      <c r="F32" s="1"/>
      <c r="G32" s="1"/>
      <c r="H32" s="1"/>
      <c r="I32" s="1"/>
      <c r="J32" s="1"/>
      <c r="K32" s="1"/>
      <c r="L32" s="1"/>
      <c r="M32" s="1" t="e">
        <f>SUM(M25:M31)</f>
        <v>#DIV/0!</v>
      </c>
      <c r="N32" s="52" t="s">
        <v>88</v>
      </c>
      <c r="O32" s="1"/>
      <c r="P32" s="1"/>
    </row>
    <row r="33" spans="1:13" x14ac:dyDescent="0.2">
      <c r="B33" s="1" t="s">
        <v>201</v>
      </c>
      <c r="M33" s="98" t="e">
        <f>M32*Followup!D7</f>
        <v>#DIV/0!</v>
      </c>
    </row>
    <row r="35" spans="1:13" x14ac:dyDescent="0.2">
      <c r="A35" s="1"/>
      <c r="C35"/>
      <c r="D35" s="1" t="s">
        <v>232</v>
      </c>
      <c r="E35" t="s">
        <v>17</v>
      </c>
    </row>
    <row r="36" spans="1:13" x14ac:dyDescent="0.2">
      <c r="A36" s="1" t="s">
        <v>14</v>
      </c>
      <c r="B36">
        <v>5</v>
      </c>
      <c r="C36"/>
      <c r="D36" s="1" t="s">
        <v>96</v>
      </c>
      <c r="E36" s="9">
        <v>171000</v>
      </c>
    </row>
    <row r="37" spans="1:13" x14ac:dyDescent="0.2">
      <c r="A37" s="1" t="s">
        <v>13</v>
      </c>
      <c r="B37" s="7">
        <v>0.03</v>
      </c>
      <c r="C37"/>
      <c r="D37" s="1"/>
      <c r="E37" s="9"/>
    </row>
    <row r="38" spans="1:13" x14ac:dyDescent="0.2">
      <c r="A38" s="1" t="s">
        <v>12</v>
      </c>
      <c r="B38" s="8">
        <v>4.58</v>
      </c>
      <c r="C38"/>
      <c r="D38" s="1"/>
      <c r="E38" s="9"/>
    </row>
    <row r="39" spans="1:13" x14ac:dyDescent="0.2">
      <c r="A39" s="1" t="s">
        <v>18</v>
      </c>
      <c r="B39">
        <v>6.81</v>
      </c>
      <c r="C39"/>
      <c r="D39" s="1"/>
    </row>
    <row r="40" spans="1:13" ht="16" thickBot="1" x14ac:dyDescent="0.25">
      <c r="C40"/>
    </row>
    <row r="41" spans="1:13" ht="16" thickBot="1" x14ac:dyDescent="0.25">
      <c r="A41" s="154" t="s">
        <v>382</v>
      </c>
      <c r="B41" s="155" t="s">
        <v>383</v>
      </c>
      <c r="C41" s="155" t="s">
        <v>384</v>
      </c>
      <c r="D41" s="155" t="s">
        <v>385</v>
      </c>
      <c r="F41" s="163" t="s">
        <v>393</v>
      </c>
      <c r="G41" s="164">
        <v>199</v>
      </c>
      <c r="H41" s="165">
        <f>G41*B39</f>
        <v>1355.1899999999998</v>
      </c>
    </row>
    <row r="42" spans="1:13" ht="16" thickBot="1" x14ac:dyDescent="0.25">
      <c r="A42" s="156" t="s">
        <v>386</v>
      </c>
      <c r="B42" s="157">
        <f>Testing!$H$14</f>
        <v>1616</v>
      </c>
      <c r="C42" s="158">
        <v>6</v>
      </c>
      <c r="D42" s="157">
        <f>B42*C42</f>
        <v>9696</v>
      </c>
    </row>
    <row r="43" spans="1:13" ht="16" thickBot="1" x14ac:dyDescent="0.25">
      <c r="A43" s="156" t="s">
        <v>387</v>
      </c>
      <c r="B43" s="157">
        <f>Testing!$H$14</f>
        <v>1616</v>
      </c>
      <c r="C43" s="158">
        <v>34</v>
      </c>
      <c r="D43" s="157">
        <f t="shared" ref="D43:D44" si="12">B43*C43</f>
        <v>54944</v>
      </c>
    </row>
    <row r="44" spans="1:13" ht="16" thickBot="1" x14ac:dyDescent="0.25">
      <c r="A44" s="156" t="s">
        <v>388</v>
      </c>
      <c r="B44" s="157">
        <f>Testing!$H$14</f>
        <v>1616</v>
      </c>
      <c r="C44" s="158">
        <v>4</v>
      </c>
      <c r="D44" s="157">
        <f t="shared" si="12"/>
        <v>6464</v>
      </c>
    </row>
    <row r="45" spans="1:13" ht="16" thickBot="1" x14ac:dyDescent="0.25">
      <c r="A45" s="160" t="s">
        <v>390</v>
      </c>
      <c r="B45" s="159" t="s">
        <v>389</v>
      </c>
      <c r="C45" s="159" t="s">
        <v>389</v>
      </c>
      <c r="D45" s="157">
        <f>SUM(D42:D44)</f>
        <v>71104</v>
      </c>
    </row>
    <row r="46" spans="1:13" x14ac:dyDescent="0.2">
      <c r="A46" s="162" t="s">
        <v>391</v>
      </c>
      <c r="D46">
        <f>D45*E49</f>
        <v>6794.3822222222225</v>
      </c>
    </row>
    <row r="49" spans="3:5" x14ac:dyDescent="0.2">
      <c r="C49" s="161">
        <v>180000</v>
      </c>
      <c r="D49" s="161">
        <v>17200</v>
      </c>
      <c r="E49" s="161">
        <f>D49/C49</f>
        <v>9.555555555555556E-2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H22" sqref="H22"/>
    </sheetView>
  </sheetViews>
  <sheetFormatPr baseColWidth="10" defaultColWidth="8.83203125" defaultRowHeight="15" x14ac:dyDescent="0.2"/>
  <cols>
    <col min="1" max="1" width="6.6640625" customWidth="1"/>
    <col min="2" max="2" width="20.83203125" customWidth="1"/>
    <col min="4" max="4" width="18.6640625" customWidth="1"/>
    <col min="5" max="5" width="19.1640625" style="2" customWidth="1"/>
    <col min="6" max="6" width="19.1640625" style="3" customWidth="1"/>
    <col min="7" max="8" width="18.5" customWidth="1"/>
    <col min="9" max="9" width="16.33203125" style="2" customWidth="1"/>
    <col min="10" max="10" width="16.33203125" style="3" customWidth="1"/>
    <col min="11" max="12" width="16.5" customWidth="1"/>
    <col min="13" max="13" width="15" style="2" customWidth="1"/>
    <col min="14" max="14" width="20.5" style="3" customWidth="1"/>
    <col min="15" max="15" width="20.6640625" customWidth="1"/>
  </cols>
  <sheetData>
    <row r="1" spans="1:15" ht="16" thickBot="1" x14ac:dyDescent="0.25">
      <c r="A1" t="s">
        <v>135</v>
      </c>
      <c r="B1" s="87" t="s">
        <v>208</v>
      </c>
      <c r="C1" s="87"/>
      <c r="D1" s="87"/>
      <c r="E1" s="87"/>
      <c r="F1" s="2"/>
      <c r="G1" s="3"/>
      <c r="I1"/>
      <c r="J1"/>
      <c r="M1"/>
      <c r="N1"/>
    </row>
    <row r="2" spans="1:15" ht="66" customHeight="1" thickBot="1" x14ac:dyDescent="0.25">
      <c r="B2" s="89" t="s">
        <v>209</v>
      </c>
      <c r="C2" s="90" t="s">
        <v>11</v>
      </c>
      <c r="D2" s="90" t="s">
        <v>210</v>
      </c>
      <c r="E2" s="90" t="s">
        <v>218</v>
      </c>
      <c r="F2" s="90" t="s">
        <v>396</v>
      </c>
      <c r="G2" s="90" t="s">
        <v>211</v>
      </c>
      <c r="H2" s="90" t="s">
        <v>212</v>
      </c>
      <c r="I2" s="90" t="s">
        <v>213</v>
      </c>
      <c r="J2" s="90" t="s">
        <v>214</v>
      </c>
      <c r="K2" s="90" t="s">
        <v>215</v>
      </c>
      <c r="L2" s="90" t="s">
        <v>215</v>
      </c>
      <c r="M2" s="90" t="s">
        <v>215</v>
      </c>
      <c r="N2" s="90" t="s">
        <v>398</v>
      </c>
      <c r="O2" s="90" t="s">
        <v>216</v>
      </c>
    </row>
    <row r="3" spans="1:15" ht="16" thickBot="1" x14ac:dyDescent="0.25">
      <c r="A3">
        <v>1</v>
      </c>
      <c r="B3" s="94" t="s">
        <v>397</v>
      </c>
      <c r="C3" s="91"/>
      <c r="D3" s="95"/>
      <c r="E3" s="167">
        <f>SUM(D13:D14)</f>
        <v>183.87</v>
      </c>
      <c r="F3" s="167">
        <f>E3*12</f>
        <v>2206.44</v>
      </c>
      <c r="G3" s="91"/>
      <c r="H3" s="91"/>
      <c r="I3" s="91"/>
      <c r="J3" s="91"/>
      <c r="K3" s="91"/>
      <c r="L3" s="91"/>
      <c r="M3" s="91"/>
      <c r="N3" s="169">
        <v>0.3</v>
      </c>
      <c r="O3" s="167">
        <f>F3*Testing!H15*N3</f>
        <v>320904.6336</v>
      </c>
    </row>
    <row r="4" spans="1:15" ht="16" thickBot="1" x14ac:dyDescent="0.25">
      <c r="A4">
        <f>A3+1</f>
        <v>2</v>
      </c>
      <c r="B4" s="95"/>
      <c r="C4" s="91"/>
      <c r="D4" s="95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6" thickBot="1" x14ac:dyDescent="0.25">
      <c r="A5">
        <f t="shared" ref="A5:A7" si="0">A4+1</f>
        <v>3</v>
      </c>
      <c r="B5" s="95"/>
      <c r="C5" s="91"/>
      <c r="D5" s="95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6" thickBot="1" x14ac:dyDescent="0.25">
      <c r="A6">
        <f t="shared" si="0"/>
        <v>4</v>
      </c>
      <c r="B6" s="51"/>
      <c r="C6" s="91"/>
      <c r="D6" s="5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6" thickBot="1" x14ac:dyDescent="0.25">
      <c r="A7">
        <f t="shared" si="0"/>
        <v>5</v>
      </c>
      <c r="B7" s="96"/>
      <c r="C7" s="91"/>
      <c r="D7" s="5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 ht="16" thickBot="1" x14ac:dyDescent="0.25">
      <c r="B8" s="1" t="s">
        <v>217</v>
      </c>
      <c r="M8" s="91">
        <f>SUM(O3:O7)</f>
        <v>320904.6336</v>
      </c>
    </row>
    <row r="10" spans="1:15" x14ac:dyDescent="0.2">
      <c r="B10" s="1" t="s">
        <v>18</v>
      </c>
      <c r="C10">
        <v>6.81</v>
      </c>
    </row>
    <row r="11" spans="1:15" x14ac:dyDescent="0.2">
      <c r="B11" t="s">
        <v>256</v>
      </c>
    </row>
    <row r="13" spans="1:15" x14ac:dyDescent="0.2">
      <c r="B13" t="s">
        <v>394</v>
      </c>
      <c r="C13" s="164">
        <v>17</v>
      </c>
      <c r="D13" s="134">
        <f>C13*$C$10</f>
        <v>115.77</v>
      </c>
      <c r="E13" s="166"/>
    </row>
    <row r="14" spans="1:15" x14ac:dyDescent="0.2">
      <c r="B14" t="s">
        <v>395</v>
      </c>
      <c r="C14" s="164">
        <v>10</v>
      </c>
      <c r="D14" s="134">
        <f>C14*$C$10</f>
        <v>68.099999999999994</v>
      </c>
      <c r="F14" s="1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12</vt:i4>
      </vt:variant>
    </vt:vector>
  </HeadingPairs>
  <TitlesOfParts>
    <vt:vector baseType="lpstr" size="12">
      <vt:lpstr>Summary</vt:lpstr>
      <vt:lpstr>Summary-CHW</vt:lpstr>
      <vt:lpstr>Start-up costs</vt:lpstr>
      <vt:lpstr>Personnel</vt:lpstr>
      <vt:lpstr>Transport</vt:lpstr>
      <vt:lpstr>Testing</vt:lpstr>
      <vt:lpstr>Followup</vt:lpstr>
      <vt:lpstr>Data capture</vt:lpstr>
      <vt:lpstr>Treatment</vt:lpstr>
      <vt:lpstr>Office &amp; Misc</vt:lpstr>
      <vt:lpstr>Cases averted</vt:lpstr>
      <vt:lpstr>CEA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