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defaultThemeVersion="124226"/>
  <mc:AlternateContent xmlns:mc="http://schemas.openxmlformats.org/markup-compatibility/2006">
    <mc:Choice Requires="x15">
      <x15ac:absPath xmlns:x15ac="http://schemas.microsoft.com/office/spreadsheetml/2010/11/ac" url="C:\Users\AbleDocs-012-A\Desktop\Work Zone\2019-05-15 - LAI-00629\"/>
    </mc:Choice>
  </mc:AlternateContent>
  <xr:revisionPtr revIDLastSave="0" documentId="8_{A24CBCDD-2DDE-40BB-BB91-42D45AC4BA4E}" xr6:coauthVersionLast="43" xr6:coauthVersionMax="43" xr10:uidLastSave="{00000000-0000-0000-0000-000000000000}"/>
  <bookViews>
    <workbookView xWindow="-120" yWindow="-120" windowWidth="24240" windowHeight="13140" xr2:uid="{00000000-000D-0000-FFFF-FFFF00000000}"/>
  </bookViews>
  <sheets>
    <sheet name="ZBB Detail" sheetId="1" r:id="rId1"/>
  </sheets>
  <definedNames>
    <definedName name="_xlnm.Print_Area" localSheetId="0">'ZBB Detail'!$A$3:$AM$190</definedName>
    <definedName name="_xlnm.Print_Titles" localSheetId="0">'ZBB Detail'!$3:$4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 i="1" l="1"/>
  <c r="J5" i="1"/>
  <c r="L5" i="1"/>
  <c r="N5" i="1"/>
  <c r="P5" i="1"/>
  <c r="R5" i="1"/>
  <c r="T5" i="1"/>
  <c r="V5" i="1"/>
  <c r="X5" i="1"/>
  <c r="Z5" i="1"/>
  <c r="AB5" i="1"/>
  <c r="AD5" i="1"/>
  <c r="AE5" i="1"/>
  <c r="AI5" i="1"/>
  <c r="AJ5" i="1"/>
  <c r="AK5" i="1"/>
  <c r="AL5" i="1"/>
  <c r="AF6" i="1"/>
  <c r="AF7" i="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I57" i="1"/>
  <c r="AJ57" i="1"/>
  <c r="AK57" i="1"/>
  <c r="AL57" i="1"/>
  <c r="G58" i="1"/>
  <c r="H58" i="1"/>
  <c r="I58" i="1"/>
  <c r="J58" i="1"/>
  <c r="K58" i="1"/>
  <c r="L58" i="1"/>
  <c r="M58" i="1"/>
  <c r="N58" i="1"/>
  <c r="O58" i="1"/>
  <c r="P58" i="1"/>
  <c r="Q58" i="1"/>
  <c r="R58" i="1"/>
  <c r="S58" i="1"/>
  <c r="T58" i="1"/>
  <c r="U58" i="1"/>
  <c r="V58" i="1"/>
  <c r="W58" i="1"/>
  <c r="X58" i="1"/>
  <c r="Y58" i="1"/>
  <c r="Z58" i="1"/>
  <c r="AA58" i="1"/>
  <c r="AB58" i="1"/>
  <c r="AC58" i="1"/>
  <c r="AD58" i="1"/>
  <c r="G59" i="1"/>
  <c r="H59" i="1" s="1"/>
  <c r="I59" i="1"/>
  <c r="J59" i="1" s="1"/>
  <c r="K59" i="1"/>
  <c r="L59" i="1" s="1"/>
  <c r="M59" i="1"/>
  <c r="N59" i="1" s="1"/>
  <c r="O59" i="1"/>
  <c r="P59" i="1" s="1"/>
  <c r="Q59" i="1"/>
  <c r="R59" i="1" s="1"/>
  <c r="S59" i="1"/>
  <c r="T59" i="1" s="1"/>
  <c r="U59" i="1"/>
  <c r="V59" i="1" s="1"/>
  <c r="W59" i="1"/>
  <c r="X59" i="1" s="1"/>
  <c r="Y59" i="1"/>
  <c r="Z59" i="1" s="1"/>
  <c r="AA59" i="1"/>
  <c r="AB59" i="1" s="1"/>
  <c r="AC59" i="1"/>
  <c r="AD59" i="1" s="1"/>
  <c r="G60" i="1"/>
  <c r="H60" i="1"/>
  <c r="I60" i="1"/>
  <c r="J60" i="1"/>
  <c r="K60" i="1"/>
  <c r="L60" i="1"/>
  <c r="M60" i="1"/>
  <c r="N60" i="1"/>
  <c r="O60" i="1"/>
  <c r="P60" i="1"/>
  <c r="Q60" i="1"/>
  <c r="R60" i="1"/>
  <c r="S60" i="1"/>
  <c r="T60" i="1"/>
  <c r="U60" i="1"/>
  <c r="V60" i="1"/>
  <c r="W60" i="1"/>
  <c r="X60" i="1"/>
  <c r="Y60" i="1"/>
  <c r="Z60" i="1"/>
  <c r="AA60" i="1"/>
  <c r="AB60" i="1"/>
  <c r="AC60" i="1"/>
  <c r="AD60" i="1"/>
  <c r="G61" i="1"/>
  <c r="H61" i="1" s="1"/>
  <c r="I61" i="1"/>
  <c r="J61" i="1" s="1"/>
  <c r="K61" i="1"/>
  <c r="L61" i="1" s="1"/>
  <c r="M61" i="1"/>
  <c r="N61" i="1" s="1"/>
  <c r="O61" i="1"/>
  <c r="P61" i="1" s="1"/>
  <c r="Q61" i="1"/>
  <c r="R61" i="1" s="1"/>
  <c r="S61" i="1"/>
  <c r="T61" i="1" s="1"/>
  <c r="U61" i="1"/>
  <c r="V61" i="1" s="1"/>
  <c r="W61" i="1"/>
  <c r="X61" i="1" s="1"/>
  <c r="Y61" i="1"/>
  <c r="Z61" i="1" s="1"/>
  <c r="AA61" i="1"/>
  <c r="AB61" i="1" s="1"/>
  <c r="AC61" i="1"/>
  <c r="AD61" i="1" s="1"/>
  <c r="G62" i="1"/>
  <c r="H62" i="1"/>
  <c r="I62" i="1"/>
  <c r="J62" i="1"/>
  <c r="K62" i="1"/>
  <c r="L62" i="1"/>
  <c r="M62" i="1"/>
  <c r="N62" i="1"/>
  <c r="O62" i="1"/>
  <c r="P62" i="1"/>
  <c r="Q62" i="1"/>
  <c r="R62" i="1"/>
  <c r="S62" i="1"/>
  <c r="T62" i="1"/>
  <c r="U62" i="1"/>
  <c r="V62" i="1"/>
  <c r="X62" i="1"/>
  <c r="Y62" i="1"/>
  <c r="Z62" i="1" s="1"/>
  <c r="AA62" i="1"/>
  <c r="AB62" i="1" s="1"/>
  <c r="AD62" i="1"/>
  <c r="G63" i="1"/>
  <c r="H63" i="1" s="1"/>
  <c r="I63" i="1"/>
  <c r="J63" i="1" s="1"/>
  <c r="K63" i="1"/>
  <c r="L63" i="1" s="1"/>
  <c r="M63" i="1"/>
  <c r="N63" i="1" s="1"/>
  <c r="O63" i="1"/>
  <c r="P63" i="1" s="1"/>
  <c r="Q63" i="1"/>
  <c r="R63" i="1" s="1"/>
  <c r="S63" i="1"/>
  <c r="T63" i="1" s="1"/>
  <c r="U63" i="1"/>
  <c r="V63" i="1" s="1"/>
  <c r="W63" i="1"/>
  <c r="X63" i="1" s="1"/>
  <c r="Y63" i="1"/>
  <c r="Z63" i="1" s="1"/>
  <c r="AA63" i="1"/>
  <c r="AB63" i="1" s="1"/>
  <c r="AC63" i="1"/>
  <c r="AD63" i="1" s="1"/>
  <c r="G64" i="1"/>
  <c r="H64" i="1"/>
  <c r="I64" i="1"/>
  <c r="J64" i="1"/>
  <c r="K64" i="1"/>
  <c r="L64" i="1"/>
  <c r="M64" i="1"/>
  <c r="N64" i="1"/>
  <c r="O64" i="1"/>
  <c r="P64" i="1"/>
  <c r="Q64" i="1"/>
  <c r="R64" i="1"/>
  <c r="S64" i="1"/>
  <c r="T64" i="1"/>
  <c r="U64" i="1"/>
  <c r="V64" i="1"/>
  <c r="W64" i="1"/>
  <c r="X64" i="1"/>
  <c r="Y64" i="1"/>
  <c r="Z64" i="1"/>
  <c r="AA64" i="1"/>
  <c r="AB64" i="1"/>
  <c r="AC64" i="1"/>
  <c r="AD64" i="1"/>
  <c r="H65" i="1"/>
  <c r="P65" i="1"/>
  <c r="R65" i="1"/>
  <c r="X65" i="1"/>
  <c r="Z65" i="1"/>
  <c r="G66" i="1"/>
  <c r="H66" i="1" s="1"/>
  <c r="I66" i="1"/>
  <c r="J66" i="1" s="1"/>
  <c r="K66" i="1"/>
  <c r="L66" i="1" s="1"/>
  <c r="M66" i="1"/>
  <c r="N66" i="1" s="1"/>
  <c r="O66" i="1"/>
  <c r="P66" i="1" s="1"/>
  <c r="Q66" i="1"/>
  <c r="R66" i="1" s="1"/>
  <c r="S66" i="1"/>
  <c r="T66" i="1" s="1"/>
  <c r="U66" i="1"/>
  <c r="V66" i="1" s="1"/>
  <c r="W66" i="1"/>
  <c r="X66" i="1" s="1"/>
  <c r="Y66" i="1"/>
  <c r="Z66" i="1" s="1"/>
  <c r="AA66" i="1"/>
  <c r="AB66" i="1" s="1"/>
  <c r="AC66" i="1"/>
  <c r="AD66" i="1" s="1"/>
  <c r="G67" i="1"/>
  <c r="H67" i="1" s="1"/>
  <c r="J67" i="1"/>
  <c r="K67" i="1"/>
  <c r="L67" i="1" s="1"/>
  <c r="M67" i="1"/>
  <c r="N67" i="1" s="1"/>
  <c r="P67" i="1"/>
  <c r="Q67" i="1"/>
  <c r="R67" i="1" s="1"/>
  <c r="S67" i="1"/>
  <c r="T67" i="1" s="1"/>
  <c r="U67" i="1"/>
  <c r="V67" i="1" s="1"/>
  <c r="W67" i="1"/>
  <c r="X67" i="1" s="1"/>
  <c r="Y67" i="1"/>
  <c r="Z67" i="1" s="1"/>
  <c r="AA67" i="1"/>
  <c r="AB67" i="1" s="1"/>
  <c r="AC67" i="1"/>
  <c r="AD67" i="1" s="1"/>
  <c r="G68" i="1"/>
  <c r="H68" i="1" s="1"/>
  <c r="I68" i="1"/>
  <c r="J68" i="1" s="1"/>
  <c r="L68" i="1"/>
  <c r="M68" i="1"/>
  <c r="N68" i="1"/>
  <c r="O68" i="1"/>
  <c r="P68" i="1"/>
  <c r="R68" i="1"/>
  <c r="S68" i="1"/>
  <c r="U68" i="1"/>
  <c r="V68" i="1"/>
  <c r="W68" i="1"/>
  <c r="X68" i="1"/>
  <c r="Y68" i="1"/>
  <c r="Z68" i="1"/>
  <c r="AA68" i="1"/>
  <c r="AB68" i="1"/>
  <c r="AC68" i="1"/>
  <c r="AD68" i="1"/>
  <c r="G69" i="1"/>
  <c r="H69" i="1" s="1"/>
  <c r="I69" i="1"/>
  <c r="J69" i="1" s="1"/>
  <c r="K69" i="1"/>
  <c r="L69" i="1" s="1"/>
  <c r="M69" i="1"/>
  <c r="N69" i="1" s="1"/>
  <c r="O69" i="1"/>
  <c r="P69" i="1" s="1"/>
  <c r="Q69" i="1"/>
  <c r="R69" i="1" s="1"/>
  <c r="S69" i="1"/>
  <c r="T69" i="1" s="1"/>
  <c r="U69" i="1"/>
  <c r="V69" i="1" s="1"/>
  <c r="W69" i="1"/>
  <c r="X69" i="1" s="1"/>
  <c r="Y69" i="1"/>
  <c r="Z69" i="1" s="1"/>
  <c r="AA69" i="1"/>
  <c r="AB69" i="1" s="1"/>
  <c r="AC69" i="1"/>
  <c r="AD69" i="1" s="1"/>
  <c r="G70" i="1"/>
  <c r="H70" i="1"/>
  <c r="I70" i="1"/>
  <c r="J70" i="1"/>
  <c r="K70" i="1"/>
  <c r="L70" i="1"/>
  <c r="M70" i="1"/>
  <c r="N70" i="1"/>
  <c r="P70" i="1"/>
  <c r="Q70" i="1"/>
  <c r="R70" i="1" s="1"/>
  <c r="S70" i="1"/>
  <c r="T70" i="1" s="1"/>
  <c r="U70" i="1"/>
  <c r="V70" i="1" s="1"/>
  <c r="W70" i="1"/>
  <c r="X70" i="1" s="1"/>
  <c r="Y70" i="1"/>
  <c r="Z70" i="1" s="1"/>
  <c r="AA70" i="1"/>
  <c r="AB70" i="1" s="1"/>
  <c r="AC70" i="1"/>
  <c r="AD70" i="1" s="1"/>
  <c r="G71" i="1"/>
  <c r="H71" i="1"/>
  <c r="I71" i="1"/>
  <c r="J71" i="1"/>
  <c r="K71" i="1"/>
  <c r="L71" i="1"/>
  <c r="M71" i="1"/>
  <c r="N71" i="1"/>
  <c r="O71" i="1"/>
  <c r="P71" i="1"/>
  <c r="Q71" i="1"/>
  <c r="R71" i="1"/>
  <c r="S71" i="1"/>
  <c r="T71" i="1"/>
  <c r="U71" i="1"/>
  <c r="V71" i="1"/>
  <c r="W71" i="1"/>
  <c r="X71" i="1"/>
  <c r="Y71" i="1"/>
  <c r="Z71" i="1"/>
  <c r="AA71" i="1"/>
  <c r="AB71" i="1"/>
  <c r="AC71" i="1"/>
  <c r="AD71" i="1"/>
  <c r="H72" i="1"/>
  <c r="J72" i="1"/>
  <c r="L72" i="1"/>
  <c r="M72" i="1"/>
  <c r="N72" i="1" s="1"/>
  <c r="O72" i="1"/>
  <c r="P72" i="1" s="1"/>
  <c r="Q72" i="1"/>
  <c r="R72" i="1" s="1"/>
  <c r="S72" i="1"/>
  <c r="T72" i="1" s="1"/>
  <c r="U72" i="1"/>
  <c r="V72" i="1" s="1"/>
  <c r="X72" i="1"/>
  <c r="Y72" i="1"/>
  <c r="AA72" i="1"/>
  <c r="AB72" i="1" s="1"/>
  <c r="AC72" i="1"/>
  <c r="AD72" i="1" s="1"/>
  <c r="G73" i="1"/>
  <c r="H73" i="1" s="1"/>
  <c r="J73" i="1"/>
  <c r="L73" i="1"/>
  <c r="M73" i="1"/>
  <c r="N73" i="1" s="1"/>
  <c r="O73" i="1"/>
  <c r="P73" i="1" s="1"/>
  <c r="Q73" i="1"/>
  <c r="R73" i="1" s="1"/>
  <c r="S73" i="1"/>
  <c r="T73" i="1" s="1"/>
  <c r="U73" i="1"/>
  <c r="V73" i="1" s="1"/>
  <c r="W73" i="1"/>
  <c r="X73" i="1" s="1"/>
  <c r="Y73" i="1"/>
  <c r="Z73" i="1" s="1"/>
  <c r="AA73" i="1"/>
  <c r="AB73" i="1" s="1"/>
  <c r="AC73" i="1"/>
  <c r="AD73" i="1" s="1"/>
  <c r="H74" i="1"/>
  <c r="J74" i="1"/>
  <c r="L74" i="1"/>
  <c r="N74" i="1"/>
  <c r="P74" i="1"/>
  <c r="R74" i="1"/>
  <c r="T74" i="1"/>
  <c r="V74" i="1"/>
  <c r="X74" i="1"/>
  <c r="Z74" i="1"/>
  <c r="AB74" i="1"/>
  <c r="AD74" i="1"/>
  <c r="AI74" i="1"/>
  <c r="AJ74" i="1"/>
  <c r="AK74" i="1"/>
  <c r="AL74" i="1"/>
  <c r="AF75" i="1"/>
  <c r="AF76" i="1"/>
  <c r="AF77" i="1"/>
  <c r="AF78" i="1"/>
  <c r="AF79" i="1"/>
  <c r="AF80" i="1"/>
  <c r="AF81" i="1"/>
  <c r="AF82" i="1"/>
  <c r="AF83" i="1"/>
  <c r="AF84" i="1"/>
  <c r="AF85" i="1"/>
  <c r="AF86" i="1"/>
  <c r="AF87" i="1"/>
  <c r="AF88" i="1"/>
  <c r="AF89" i="1"/>
  <c r="AJ90" i="1"/>
  <c r="AK90" i="1"/>
  <c r="AL90" i="1"/>
  <c r="G91" i="1"/>
  <c r="H91" i="1" s="1"/>
  <c r="I91" i="1"/>
  <c r="J91" i="1" s="1"/>
  <c r="K91" i="1"/>
  <c r="L91" i="1" s="1"/>
  <c r="M91" i="1"/>
  <c r="N91" i="1" s="1"/>
  <c r="O91" i="1"/>
  <c r="P91" i="1" s="1"/>
  <c r="Q91" i="1"/>
  <c r="R91" i="1" s="1"/>
  <c r="S91" i="1"/>
  <c r="T91" i="1" s="1"/>
  <c r="U91" i="1"/>
  <c r="V91" i="1" s="1"/>
  <c r="W91" i="1"/>
  <c r="X91" i="1" s="1"/>
  <c r="Y91" i="1"/>
  <c r="Z91" i="1" s="1"/>
  <c r="AA91" i="1"/>
  <c r="AB91" i="1" s="1"/>
  <c r="AC91" i="1"/>
  <c r="AD91" i="1" s="1"/>
  <c r="AI91" i="1"/>
  <c r="G92" i="1"/>
  <c r="H92" i="1" s="1"/>
  <c r="I92" i="1"/>
  <c r="J92" i="1"/>
  <c r="K92" i="1"/>
  <c r="M92" i="1"/>
  <c r="N92" i="1" s="1"/>
  <c r="O92" i="1"/>
  <c r="Q92" i="1"/>
  <c r="S92" i="1"/>
  <c r="U92" i="1"/>
  <c r="V92" i="1"/>
  <c r="W92" i="1"/>
  <c r="Y92" i="1"/>
  <c r="Z92" i="1" s="1"/>
  <c r="AA92" i="1"/>
  <c r="AC92" i="1"/>
  <c r="AD92" i="1"/>
  <c r="AH92" i="1"/>
  <c r="AI92" i="1" s="1"/>
  <c r="H93" i="1"/>
  <c r="G93" i="1"/>
  <c r="I93" i="1"/>
  <c r="J93" i="1" s="1"/>
  <c r="K93" i="1"/>
  <c r="M93" i="1"/>
  <c r="N93" i="1"/>
  <c r="O93" i="1"/>
  <c r="Q93" i="1"/>
  <c r="R93" i="1" s="1"/>
  <c r="S93" i="1"/>
  <c r="U93" i="1"/>
  <c r="V93" i="1"/>
  <c r="W93" i="1"/>
  <c r="Y93" i="1"/>
  <c r="Z93" i="1" s="1"/>
  <c r="AA93" i="1"/>
  <c r="AB93" i="1" s="1"/>
  <c r="AC93" i="1"/>
  <c r="AD93" i="1" s="1"/>
  <c r="AH93" i="1"/>
  <c r="J94" i="1"/>
  <c r="L94" i="1"/>
  <c r="AF94" i="1" s="1"/>
  <c r="N94" i="1"/>
  <c r="P94" i="1"/>
  <c r="R94" i="1"/>
  <c r="T94" i="1"/>
  <c r="V94" i="1"/>
  <c r="X94" i="1"/>
  <c r="Z94" i="1"/>
  <c r="AB94" i="1"/>
  <c r="AD94" i="1"/>
  <c r="H95" i="1"/>
  <c r="G95" i="1"/>
  <c r="I95" i="1"/>
  <c r="J95" i="1" s="1"/>
  <c r="K95" i="1"/>
  <c r="M95" i="1"/>
  <c r="N95" i="1" s="1"/>
  <c r="O95" i="1"/>
  <c r="Q95" i="1"/>
  <c r="R95" i="1" s="1"/>
  <c r="S95" i="1"/>
  <c r="U95" i="1"/>
  <c r="V95" i="1" s="1"/>
  <c r="W95" i="1"/>
  <c r="Y95" i="1"/>
  <c r="Z95" i="1" s="1"/>
  <c r="AA95" i="1"/>
  <c r="AC95" i="1"/>
  <c r="AD95" i="1" s="1"/>
  <c r="AH95" i="1"/>
  <c r="G96" i="1"/>
  <c r="I96" i="1"/>
  <c r="J96" i="1"/>
  <c r="K96" i="1"/>
  <c r="L96" i="1"/>
  <c r="M96" i="1"/>
  <c r="O96" i="1"/>
  <c r="P96" i="1" s="1"/>
  <c r="Q96" i="1"/>
  <c r="R96" i="1" s="1"/>
  <c r="S96" i="1"/>
  <c r="U96" i="1"/>
  <c r="V96" i="1"/>
  <c r="W96" i="1"/>
  <c r="X96" i="1"/>
  <c r="Y96" i="1"/>
  <c r="Z96" i="1"/>
  <c r="AA96" i="1"/>
  <c r="AB96" i="1"/>
  <c r="AC96" i="1"/>
  <c r="AD96" i="1"/>
  <c r="AH96" i="1"/>
  <c r="AI96" i="1" s="1"/>
  <c r="H97" i="1"/>
  <c r="G97" i="1"/>
  <c r="I97" i="1"/>
  <c r="K97" i="1"/>
  <c r="M97" i="1"/>
  <c r="N97" i="1" s="1"/>
  <c r="O97" i="1"/>
  <c r="Q97" i="1"/>
  <c r="R97" i="1"/>
  <c r="S97" i="1"/>
  <c r="U97" i="1"/>
  <c r="V97" i="1" s="1"/>
  <c r="W97" i="1"/>
  <c r="Y97" i="1"/>
  <c r="Z97" i="1"/>
  <c r="AA97" i="1"/>
  <c r="AC97" i="1"/>
  <c r="AD97" i="1" s="1"/>
  <c r="AI97" i="1"/>
  <c r="G98" i="1"/>
  <c r="H98" i="1" s="1"/>
  <c r="I98" i="1"/>
  <c r="J98" i="1" s="1"/>
  <c r="K98" i="1"/>
  <c r="L98" i="1" s="1"/>
  <c r="M98" i="1"/>
  <c r="N98" i="1" s="1"/>
  <c r="O98" i="1"/>
  <c r="P98" i="1" s="1"/>
  <c r="Q98" i="1"/>
  <c r="R98" i="1" s="1"/>
  <c r="S98" i="1"/>
  <c r="T98" i="1" s="1"/>
  <c r="U98" i="1"/>
  <c r="V98" i="1" s="1"/>
  <c r="W98" i="1"/>
  <c r="X98" i="1" s="1"/>
  <c r="Y98" i="1"/>
  <c r="Z98" i="1" s="1"/>
  <c r="AA98" i="1"/>
  <c r="AB98" i="1" s="1"/>
  <c r="AC98" i="1"/>
  <c r="AD98" i="1" s="1"/>
  <c r="AI98" i="1"/>
  <c r="H99" i="1"/>
  <c r="J99" i="1"/>
  <c r="L99" i="1"/>
  <c r="N99" i="1"/>
  <c r="P99" i="1"/>
  <c r="R99" i="1"/>
  <c r="T99" i="1"/>
  <c r="V99" i="1"/>
  <c r="X99" i="1"/>
  <c r="Z99" i="1"/>
  <c r="AB99" i="1"/>
  <c r="AD99" i="1"/>
  <c r="AF99" i="1"/>
  <c r="G100" i="1"/>
  <c r="I100" i="1"/>
  <c r="J100" i="1" s="1"/>
  <c r="K100" i="1"/>
  <c r="L100" i="1" s="1"/>
  <c r="M100" i="1"/>
  <c r="N100" i="1" s="1"/>
  <c r="O100" i="1"/>
  <c r="Q100" i="1"/>
  <c r="R100" i="1" s="1"/>
  <c r="S100" i="1"/>
  <c r="T100" i="1" s="1"/>
  <c r="U100" i="1"/>
  <c r="V100" i="1" s="1"/>
  <c r="W100" i="1"/>
  <c r="Y100" i="1"/>
  <c r="Z100" i="1" s="1"/>
  <c r="AA100" i="1"/>
  <c r="AB100" i="1" s="1"/>
  <c r="AC100" i="1"/>
  <c r="AD100" i="1" s="1"/>
  <c r="AI100" i="1"/>
  <c r="H101" i="1"/>
  <c r="G101" i="1"/>
  <c r="I101" i="1"/>
  <c r="K101" i="1"/>
  <c r="M101" i="1"/>
  <c r="O101" i="1"/>
  <c r="Q101" i="1"/>
  <c r="R101" i="1" s="1"/>
  <c r="S101" i="1"/>
  <c r="U101" i="1"/>
  <c r="V101" i="1"/>
  <c r="W101" i="1"/>
  <c r="Y101" i="1"/>
  <c r="Z101" i="1" s="1"/>
  <c r="AA101" i="1"/>
  <c r="AC101" i="1"/>
  <c r="AD101" i="1"/>
  <c r="AI101" i="1"/>
  <c r="H102" i="1"/>
  <c r="G102" i="1"/>
  <c r="I102" i="1"/>
  <c r="J102" i="1" s="1"/>
  <c r="K102" i="1"/>
  <c r="M102" i="1"/>
  <c r="N102" i="1" s="1"/>
  <c r="O102" i="1"/>
  <c r="Q102" i="1"/>
  <c r="R102" i="1" s="1"/>
  <c r="S102" i="1"/>
  <c r="U102" i="1"/>
  <c r="V102" i="1" s="1"/>
  <c r="W102" i="1"/>
  <c r="Y102" i="1"/>
  <c r="Z102" i="1" s="1"/>
  <c r="AA102" i="1"/>
  <c r="AC102" i="1"/>
  <c r="AD102" i="1" s="1"/>
  <c r="AI102" i="1"/>
  <c r="H103" i="1"/>
  <c r="J103" i="1"/>
  <c r="L103" i="1"/>
  <c r="N103" i="1"/>
  <c r="P103" i="1"/>
  <c r="R103" i="1"/>
  <c r="T103" i="1"/>
  <c r="V103" i="1"/>
  <c r="X103" i="1"/>
  <c r="Z103" i="1"/>
  <c r="AB103" i="1"/>
  <c r="AD103" i="1"/>
  <c r="AI103" i="1"/>
  <c r="J104" i="1"/>
  <c r="G104" i="1"/>
  <c r="O104" i="1"/>
  <c r="Q104" i="1"/>
  <c r="W104" i="1"/>
  <c r="Y104" i="1"/>
  <c r="AB104" i="1"/>
  <c r="AC104" i="1"/>
  <c r="AI104" i="1"/>
  <c r="P105" i="1"/>
  <c r="G105" i="1"/>
  <c r="K105" i="1"/>
  <c r="L105" i="1" s="1"/>
  <c r="M105" i="1"/>
  <c r="Q105" i="1"/>
  <c r="S105" i="1"/>
  <c r="U105" i="1"/>
  <c r="V105" i="1"/>
  <c r="W105" i="1"/>
  <c r="Y105" i="1"/>
  <c r="Z105" i="1" s="1"/>
  <c r="AA105" i="1"/>
  <c r="AC105" i="1"/>
  <c r="AD105" i="1"/>
  <c r="AH105" i="1"/>
  <c r="AI105" i="1" s="1"/>
  <c r="H106" i="1"/>
  <c r="J106" i="1"/>
  <c r="L106" i="1"/>
  <c r="N106" i="1"/>
  <c r="P106" i="1"/>
  <c r="R106" i="1"/>
  <c r="T106" i="1"/>
  <c r="V106" i="1"/>
  <c r="X106" i="1"/>
  <c r="Z106" i="1"/>
  <c r="AB106" i="1"/>
  <c r="AD106" i="1"/>
  <c r="AH106" i="1"/>
  <c r="AI106" i="1" s="1"/>
  <c r="H107" i="1"/>
  <c r="J107" i="1"/>
  <c r="L107" i="1"/>
  <c r="N107" i="1"/>
  <c r="P107" i="1"/>
  <c r="R107" i="1"/>
  <c r="T107" i="1"/>
  <c r="V107" i="1"/>
  <c r="X107" i="1"/>
  <c r="Z107" i="1"/>
  <c r="AB107" i="1"/>
  <c r="AD107" i="1"/>
  <c r="AH107" i="1"/>
  <c r="AI107" i="1" s="1"/>
  <c r="H108" i="1"/>
  <c r="J108" i="1"/>
  <c r="AF108" i="1" s="1"/>
  <c r="L108" i="1"/>
  <c r="N108" i="1"/>
  <c r="P108" i="1"/>
  <c r="R108" i="1"/>
  <c r="T108" i="1"/>
  <c r="V108" i="1"/>
  <c r="X108" i="1"/>
  <c r="Z108" i="1"/>
  <c r="AB108" i="1"/>
  <c r="AD108" i="1"/>
  <c r="AH108" i="1"/>
  <c r="AI108" i="1" s="1"/>
  <c r="H109" i="1"/>
  <c r="J109" i="1"/>
  <c r="L109" i="1"/>
  <c r="N109" i="1"/>
  <c r="P109" i="1"/>
  <c r="R109" i="1"/>
  <c r="T109" i="1"/>
  <c r="V109" i="1"/>
  <c r="X109" i="1"/>
  <c r="Z109" i="1"/>
  <c r="AB109" i="1"/>
  <c r="AD109" i="1"/>
  <c r="AI109" i="1"/>
  <c r="G110" i="1"/>
  <c r="I110" i="1"/>
  <c r="K110" i="1"/>
  <c r="L110" i="1" s="1"/>
  <c r="M110" i="1"/>
  <c r="N110" i="1" s="1"/>
  <c r="O110" i="1"/>
  <c r="Q110" i="1"/>
  <c r="S110" i="1"/>
  <c r="T110" i="1" s="1"/>
  <c r="U110" i="1"/>
  <c r="V110" i="1" s="1"/>
  <c r="W110" i="1"/>
  <c r="Y110" i="1"/>
  <c r="AA110" i="1"/>
  <c r="AB110" i="1" s="1"/>
  <c r="AC110" i="1"/>
  <c r="AD110" i="1" s="1"/>
  <c r="AH110" i="1"/>
  <c r="AI110" i="1"/>
  <c r="J111" i="1"/>
  <c r="L111" i="1"/>
  <c r="N111" i="1"/>
  <c r="P111" i="1"/>
  <c r="AF111" i="1" s="1"/>
  <c r="R111" i="1"/>
  <c r="T111" i="1"/>
  <c r="V111" i="1"/>
  <c r="X111" i="1"/>
  <c r="Z111" i="1"/>
  <c r="AB111" i="1"/>
  <c r="AD111" i="1"/>
  <c r="J112" i="1"/>
  <c r="AF112" i="1" s="1"/>
  <c r="L112" i="1"/>
  <c r="N112" i="1"/>
  <c r="P112" i="1"/>
  <c r="R112" i="1"/>
  <c r="T112" i="1"/>
  <c r="V112" i="1"/>
  <c r="X112" i="1"/>
  <c r="Z112" i="1"/>
  <c r="AB112" i="1"/>
  <c r="AD112" i="1"/>
  <c r="J113" i="1"/>
  <c r="AF113" i="1" s="1"/>
  <c r="L113" i="1"/>
  <c r="N113" i="1"/>
  <c r="P113" i="1"/>
  <c r="R113" i="1"/>
  <c r="T113" i="1"/>
  <c r="V113" i="1"/>
  <c r="X113" i="1"/>
  <c r="Z113" i="1"/>
  <c r="AB113" i="1"/>
  <c r="AD113" i="1"/>
  <c r="J115" i="1"/>
  <c r="L115" i="1"/>
  <c r="P115" i="1"/>
  <c r="X115" i="1"/>
  <c r="H116" i="1"/>
  <c r="J116" i="1"/>
  <c r="L116" i="1"/>
  <c r="N116" i="1"/>
  <c r="P116" i="1"/>
  <c r="R116" i="1"/>
  <c r="T116" i="1"/>
  <c r="V116" i="1"/>
  <c r="X116" i="1"/>
  <c r="Z116" i="1"/>
  <c r="AB116" i="1"/>
  <c r="AD116" i="1"/>
  <c r="AI116" i="1"/>
  <c r="AJ116" i="1"/>
  <c r="AK116" i="1"/>
  <c r="AL116" i="1"/>
  <c r="AF117" i="1"/>
  <c r="AF118" i="1"/>
  <c r="AF119" i="1"/>
  <c r="AF120" i="1"/>
  <c r="AF121" i="1"/>
  <c r="AF122" i="1"/>
  <c r="AF123" i="1"/>
  <c r="AF124" i="1"/>
  <c r="AF125" i="1"/>
  <c r="AF126" i="1"/>
  <c r="AF127" i="1"/>
  <c r="AF128" i="1"/>
  <c r="AF129" i="1"/>
  <c r="H130" i="1"/>
  <c r="J130" i="1"/>
  <c r="L130" i="1"/>
  <c r="N130" i="1"/>
  <c r="P130" i="1"/>
  <c r="R130" i="1"/>
  <c r="T130" i="1"/>
  <c r="V130" i="1"/>
  <c r="X130" i="1"/>
  <c r="Z130" i="1"/>
  <c r="AB130" i="1"/>
  <c r="AD130" i="1"/>
  <c r="AE130" i="1"/>
  <c r="AI130" i="1"/>
  <c r="AJ130" i="1"/>
  <c r="AK130" i="1"/>
  <c r="AL130" i="1"/>
  <c r="AF131" i="1"/>
  <c r="AF132" i="1"/>
  <c r="AF133" i="1"/>
  <c r="AF134" i="1"/>
  <c r="AF135" i="1"/>
  <c r="AF136" i="1"/>
  <c r="AF137" i="1"/>
  <c r="AF138" i="1"/>
  <c r="AF139" i="1"/>
  <c r="AF140" i="1"/>
  <c r="AF141" i="1"/>
  <c r="AF142" i="1"/>
  <c r="AF143" i="1"/>
  <c r="AF144" i="1"/>
  <c r="AI145" i="1"/>
  <c r="AJ145" i="1"/>
  <c r="AK145" i="1"/>
  <c r="AL145" i="1"/>
  <c r="AF146" i="1"/>
  <c r="AF145" i="1" s="1"/>
  <c r="AF147" i="1"/>
  <c r="AF148" i="1"/>
  <c r="AF149" i="1"/>
  <c r="AF150" i="1"/>
  <c r="AF151" i="1"/>
  <c r="AF152" i="1"/>
  <c r="H153" i="1"/>
  <c r="J153" i="1"/>
  <c r="L153" i="1"/>
  <c r="N153" i="1"/>
  <c r="P153" i="1"/>
  <c r="R153" i="1"/>
  <c r="T153" i="1"/>
  <c r="V153" i="1"/>
  <c r="X153" i="1"/>
  <c r="Z153" i="1"/>
  <c r="AB153" i="1"/>
  <c r="AD153" i="1"/>
  <c r="AI153" i="1"/>
  <c r="AJ153" i="1"/>
  <c r="AK153" i="1"/>
  <c r="AL153" i="1"/>
  <c r="AF154" i="1"/>
  <c r="AF155" i="1"/>
  <c r="AF156" i="1"/>
  <c r="AF157" i="1"/>
  <c r="AF158" i="1"/>
  <c r="AF159" i="1"/>
  <c r="AI160" i="1"/>
  <c r="AJ160" i="1"/>
  <c r="AK160" i="1"/>
  <c r="AL160" i="1"/>
  <c r="AF161" i="1"/>
  <c r="AF160" i="1" s="1"/>
  <c r="AF162" i="1"/>
  <c r="AF163" i="1"/>
  <c r="H164" i="1"/>
  <c r="J164" i="1"/>
  <c r="L164" i="1"/>
  <c r="N164" i="1"/>
  <c r="P164" i="1"/>
  <c r="R164" i="1"/>
  <c r="T164" i="1"/>
  <c r="V164" i="1"/>
  <c r="X164" i="1"/>
  <c r="Z164" i="1"/>
  <c r="AB164" i="1"/>
  <c r="AD164" i="1"/>
  <c r="AI164" i="1"/>
  <c r="AJ164" i="1"/>
  <c r="AK164" i="1"/>
  <c r="AL164" i="1"/>
  <c r="AF165" i="1"/>
  <c r="AF166" i="1"/>
  <c r="AF167" i="1"/>
  <c r="AF168" i="1"/>
  <c r="AF169" i="1"/>
  <c r="AF170" i="1"/>
  <c r="AF171" i="1"/>
  <c r="AF172" i="1"/>
  <c r="AF173" i="1"/>
  <c r="AF174" i="1"/>
  <c r="AF175" i="1"/>
  <c r="AO175" i="1"/>
  <c r="AF176" i="1"/>
  <c r="AO176" i="1"/>
  <c r="AF177" i="1"/>
  <c r="AF178" i="1"/>
  <c r="AF179" i="1"/>
  <c r="AF180" i="1"/>
  <c r="AF181" i="1"/>
  <c r="AF182" i="1"/>
  <c r="AF183" i="1"/>
  <c r="AE186" i="1"/>
  <c r="AE187" i="1" s="1"/>
  <c r="AF188" i="1"/>
  <c r="AF153" i="1" l="1"/>
  <c r="AF130" i="1"/>
  <c r="AF109" i="1"/>
  <c r="AF107" i="1"/>
  <c r="AF164" i="1"/>
  <c r="AF116" i="1"/>
  <c r="AF106" i="1"/>
  <c r="AF71" i="1"/>
  <c r="AF68" i="1"/>
  <c r="AF64" i="1"/>
  <c r="AF60" i="1"/>
  <c r="AF58" i="1"/>
  <c r="AF5" i="1"/>
  <c r="AF103" i="1"/>
  <c r="AF74" i="1"/>
  <c r="AF72" i="1"/>
  <c r="AF65" i="1"/>
  <c r="H105" i="1"/>
  <c r="J97" i="1"/>
  <c r="AF115" i="1"/>
  <c r="X110" i="1"/>
  <c r="P110" i="1"/>
  <c r="H110" i="1"/>
  <c r="AB105" i="1"/>
  <c r="X105" i="1"/>
  <c r="T105" i="1"/>
  <c r="N105" i="1"/>
  <c r="J105" i="1"/>
  <c r="AD104" i="1"/>
  <c r="AD90" i="1" s="1"/>
  <c r="AB101" i="1"/>
  <c r="X101" i="1"/>
  <c r="N101" i="1"/>
  <c r="Z110" i="1"/>
  <c r="R110" i="1"/>
  <c r="J110" i="1"/>
  <c r="L104" i="1"/>
  <c r="J101" i="1"/>
  <c r="X100" i="1"/>
  <c r="P100" i="1"/>
  <c r="H100" i="1"/>
  <c r="AB97" i="1"/>
  <c r="X97" i="1"/>
  <c r="T97" i="1"/>
  <c r="P97" i="1"/>
  <c r="L97" i="1"/>
  <c r="AB92" i="1"/>
  <c r="R92" i="1"/>
  <c r="AF98" i="1"/>
  <c r="AF69" i="1"/>
  <c r="AF63" i="1"/>
  <c r="AF61" i="1"/>
  <c r="AF59" i="1"/>
  <c r="AF91" i="1"/>
  <c r="AF70" i="1"/>
  <c r="AF66" i="1"/>
  <c r="AF62" i="1"/>
  <c r="AB57" i="1"/>
  <c r="X57" i="1"/>
  <c r="T57" i="1"/>
  <c r="P57" i="1"/>
  <c r="L57" i="1"/>
  <c r="AI90" i="1"/>
  <c r="AI186" i="1" s="1"/>
  <c r="AI187" i="1" s="1"/>
  <c r="AF67" i="1"/>
  <c r="AF57" i="1" s="1"/>
  <c r="AF96" i="1"/>
  <c r="AF73" i="1"/>
  <c r="AD57" i="1"/>
  <c r="Z57" i="1"/>
  <c r="V57" i="1"/>
  <c r="R57" i="1"/>
  <c r="N57" i="1"/>
  <c r="J57" i="1"/>
  <c r="X104" i="1"/>
  <c r="R104" i="1"/>
  <c r="N104" i="1"/>
  <c r="AB102" i="1"/>
  <c r="X102" i="1"/>
  <c r="T102" i="1"/>
  <c r="P102" i="1"/>
  <c r="L102" i="1"/>
  <c r="AB95" i="1"/>
  <c r="X95" i="1"/>
  <c r="T95" i="1"/>
  <c r="P95" i="1"/>
  <c r="L95" i="1"/>
  <c r="T104" i="1"/>
  <c r="H104" i="1"/>
  <c r="T101" i="1"/>
  <c r="P101" i="1"/>
  <c r="L101" i="1"/>
  <c r="X93" i="1"/>
  <c r="T93" i="1"/>
  <c r="P93" i="1"/>
  <c r="L93" i="1"/>
  <c r="X92" i="1"/>
  <c r="T92" i="1"/>
  <c r="P92" i="1"/>
  <c r="L92" i="1"/>
  <c r="H57" i="1"/>
  <c r="Z104" i="1"/>
  <c r="V104" i="1"/>
  <c r="V90" i="1" s="1"/>
  <c r="P104" i="1"/>
  <c r="AF110" i="1" l="1"/>
  <c r="H90" i="1"/>
  <c r="AF100" i="1"/>
  <c r="Z90" i="1"/>
  <c r="Z186" i="1" s="1"/>
  <c r="Z187" i="1" s="1"/>
  <c r="R90" i="1"/>
  <c r="R186" i="1" s="1"/>
  <c r="R187" i="1" s="1"/>
  <c r="T90" i="1"/>
  <c r="N90" i="1"/>
  <c r="N186" i="1" s="1"/>
  <c r="N187" i="1" s="1"/>
  <c r="AF97" i="1"/>
  <c r="J90" i="1"/>
  <c r="J186" i="1" s="1"/>
  <c r="J187" i="1" s="1"/>
  <c r="P90" i="1"/>
  <c r="P186" i="1" s="1"/>
  <c r="P187" i="1" s="1"/>
  <c r="AF95" i="1"/>
  <c r="AB90" i="1"/>
  <c r="AB186" i="1" s="1"/>
  <c r="AB187" i="1" s="1"/>
  <c r="L90" i="1"/>
  <c r="L186" i="1" s="1"/>
  <c r="L187" i="1" s="1"/>
  <c r="X90" i="1"/>
  <c r="X186" i="1" s="1"/>
  <c r="X187" i="1" s="1"/>
  <c r="V186" i="1"/>
  <c r="V187" i="1" s="1"/>
  <c r="H186" i="1"/>
  <c r="H187" i="1" s="1"/>
  <c r="AD186" i="1"/>
  <c r="AD187" i="1" s="1"/>
  <c r="AF102" i="1"/>
  <c r="AF92" i="1"/>
  <c r="AF93" i="1"/>
  <c r="AF101" i="1"/>
  <c r="AF105" i="1"/>
  <c r="AF104" i="1"/>
  <c r="T186" i="1"/>
  <c r="T187" i="1" s="1"/>
  <c r="AF90" i="1" l="1"/>
  <c r="AF186" i="1"/>
  <c r="AF187" i="1" s="1"/>
</calcChain>
</file>

<file path=xl/sharedStrings.xml><?xml version="1.0" encoding="utf-8"?>
<sst xmlns="http://schemas.openxmlformats.org/spreadsheetml/2006/main" count="817" uniqueCount="618">
  <si>
    <t>District 77 = Audits and Investigations</t>
  </si>
  <si>
    <t>PI for HQ only</t>
  </si>
  <si>
    <t>*</t>
  </si>
  <si>
    <t>POSITIONS</t>
  </si>
  <si>
    <t>ORG CHART POSITIONS</t>
  </si>
  <si>
    <t>PI for Districts Only</t>
  </si>
  <si>
    <t>(HQ):</t>
  </si>
  <si>
    <t>HOURS</t>
  </si>
  <si>
    <t>TOTAL HOURS</t>
  </si>
  <si>
    <t>Joint Activity by HQ and District</t>
  </si>
  <si>
    <t>(D):</t>
  </si>
  <si>
    <t>TOTAL $'s</t>
  </si>
  <si>
    <t>OE $'s</t>
  </si>
  <si>
    <t>PS $'s</t>
  </si>
  <si>
    <t>HQ</t>
  </si>
  <si>
    <t>TOTAL DIST</t>
  </si>
  <si>
    <t>DISTRICT</t>
  </si>
  <si>
    <t>(J):</t>
  </si>
  <si>
    <t>042T</t>
  </si>
  <si>
    <t>Strategic Planning and Management (3323)</t>
  </si>
  <si>
    <t>00-0002-0059</t>
  </si>
  <si>
    <t>Strategic Planning and Management  (3323)</t>
  </si>
  <si>
    <t>BCPs and FLs (3323)</t>
  </si>
  <si>
    <t>00-0002-0058</t>
  </si>
  <si>
    <t>State Operations Budget Development (3323)</t>
  </si>
  <si>
    <t>00-0002-0057</t>
  </si>
  <si>
    <t>Operations Budget Management (3323)</t>
  </si>
  <si>
    <t>00-0002-0055</t>
  </si>
  <si>
    <t>Budget/Financial Management  (3323)</t>
  </si>
  <si>
    <t>Attend Staff meeting(3323)</t>
  </si>
  <si>
    <t>00-0002-0047</t>
  </si>
  <si>
    <t>Human Resources Management(3323)</t>
  </si>
  <si>
    <t>00-0002-0056</t>
  </si>
  <si>
    <t>Administrative and clerical support (3323)</t>
  </si>
  <si>
    <t>00-0002-0045</t>
  </si>
  <si>
    <t>Supervision and business management (3323)</t>
  </si>
  <si>
    <t>00-0002-0044</t>
  </si>
  <si>
    <t>HR Management (3323)</t>
  </si>
  <si>
    <t>Strategic Planning and Management (HQ)</t>
  </si>
  <si>
    <t>Strategic Planning and Management</t>
  </si>
  <si>
    <t>BCPs and FLs (HQ)</t>
  </si>
  <si>
    <t>State Operations Budget Development (HQ)</t>
  </si>
  <si>
    <t>Operations Budget Management (J)</t>
  </si>
  <si>
    <t>Budget/Financial Management</t>
  </si>
  <si>
    <t>Attend Local Assistance Training (J)</t>
  </si>
  <si>
    <t>00-0002-0054</t>
  </si>
  <si>
    <t>Attend Employee development training (J)</t>
  </si>
  <si>
    <t>00-0002-0052</t>
  </si>
  <si>
    <t>Attend Mandatory training (J)</t>
  </si>
  <si>
    <t>00-0002-0049</t>
  </si>
  <si>
    <t>Training</t>
  </si>
  <si>
    <t>Attend Staff meeting (J)</t>
  </si>
  <si>
    <t>Human Resources Management (J)</t>
  </si>
  <si>
    <t>Administrative and clerical support (J)</t>
  </si>
  <si>
    <t>Supervision and business management (J)</t>
  </si>
  <si>
    <t>HR Management</t>
  </si>
  <si>
    <t>8) RESOURCE MANAGEMENT (CORE BUSINESS)
(Activity Based Workload - No Statewide Product Median or Product Counts)</t>
  </si>
  <si>
    <t>This work segment captures staff time expended on activities associated with the reporting of project status and employment information for projects receiving Recovery Act funds</t>
  </si>
  <si>
    <t>Reporting and Database</t>
  </si>
  <si>
    <t>00-0000-1691</t>
  </si>
  <si>
    <t>This work segment captures staff time expended coordinating, compiling and documenting various reporting related activities</t>
  </si>
  <si>
    <t>Program Coordination</t>
  </si>
  <si>
    <t>00-0000-1689</t>
  </si>
  <si>
    <t>This work segment captures staff time expended on the development, application and communication of Recovery Act policies and procedures</t>
  </si>
  <si>
    <t>Policy and Guidelines</t>
  </si>
  <si>
    <t>00-0000-1690</t>
  </si>
  <si>
    <t>Recovery Act Program</t>
  </si>
  <si>
    <t>7) ARRA REPORTING
(Activity Based Workload - No Statewide Product Median or Product Counts)</t>
  </si>
  <si>
    <t>This work segment captures time spent by HQ Office of Project Delivery and Accountability staff on implementing and administering the TLSP</t>
  </si>
  <si>
    <t>Traffic Light Synchronization Program (J)</t>
  </si>
  <si>
    <t>00-0002-0051</t>
  </si>
  <si>
    <t>Traffic Light Synchronization Program</t>
  </si>
  <si>
    <t>This work segment captures time spent by HQ Office of Project Delivery and Accountability on administering the LBSRA</t>
  </si>
  <si>
    <t>Local Bridge Seismic Retrofit Account (J)</t>
  </si>
  <si>
    <t>00-0002-0223</t>
  </si>
  <si>
    <t>Local Bridge Seismic Retrofit Account</t>
  </si>
  <si>
    <t>This work segment captures time spent by HQ Office of Project Delivery and Accountability on implementing and administering the SLPP</t>
  </si>
  <si>
    <t>State-Local Partnership Program (J)</t>
  </si>
  <si>
    <t>00-0002-0050</t>
  </si>
  <si>
    <t>State-Local Partnership Program</t>
  </si>
  <si>
    <t>This work segment captures designated staff time expended for managing the STIP Augmentation program</t>
  </si>
  <si>
    <t>STIP Augmentation (J)</t>
  </si>
  <si>
    <t>00-0002-0048</t>
  </si>
  <si>
    <t>STIP Augmentation</t>
  </si>
  <si>
    <t>This work segment captures time spent by HQ Office of Project Delivery and Accountability on implementing and administering the TCIF</t>
  </si>
  <si>
    <t>Trade Corridors Improvement Fund (J)</t>
  </si>
  <si>
    <t>00-0002-0046</t>
  </si>
  <si>
    <t>Trade Corridors Improvement Fund</t>
  </si>
  <si>
    <t xml:space="preserve"> All Bond Funds</t>
  </si>
  <si>
    <t>This work segment captures designated staff time expended for tracking and reporting on the status of Bond funded local agency projects</t>
  </si>
  <si>
    <t>Bonds - HQ Reporting and Tracking (HQ)</t>
  </si>
  <si>
    <t>00-0002-0053</t>
  </si>
  <si>
    <t>Bonds - HQ Reporting and Tracking</t>
  </si>
  <si>
    <t>6) BOND
(Activity Based Workload - No Statewide Product Median or Product Counts)</t>
  </si>
  <si>
    <t>This work segment captures staff time spent on maintaining and upgrading the Local Assistance - Online Data Information System (LA-ODIS).</t>
  </si>
  <si>
    <t>LP2000 and LA ODIS</t>
  </si>
  <si>
    <t>00-0002-0043</t>
  </si>
  <si>
    <t>Data Mgmt Systems</t>
  </si>
  <si>
    <t>This work segment captures staff time expended on ensuring compliance with US Code and CFR, requiring a federal-aid project to start the right-of-way or construction phase of work by the tenth year after authorization of preliminary engineering</t>
  </si>
  <si>
    <t>PE over 10</t>
  </si>
  <si>
    <t>00-0000-1688</t>
  </si>
  <si>
    <t>PE over 10 Monitoring</t>
  </si>
  <si>
    <t>This work segment captures staff time expended on ensuring compliance with the CFR , activities related to the tracking and enforcing the Federal Highway Administration’s (FHWA) Inactive Obligation regulation</t>
  </si>
  <si>
    <t xml:space="preserve">Inactive Projects  </t>
  </si>
  <si>
    <t>00-0000-1687</t>
  </si>
  <si>
    <t>This work segment captures time spent by designated staff acting as the Division of Local Assistance (DLA) Liaison on preparing the agenda and book items for submission to the Office of the CTC Liaison.</t>
  </si>
  <si>
    <t>CTC reporting</t>
  </si>
  <si>
    <t>00-0000-1658</t>
  </si>
  <si>
    <t>California Transportation Commission Reporting</t>
  </si>
  <si>
    <t xml:space="preserve">This work segment captures time spent by designated staff working on Cooperative Work Agreements (CWA) by resolving lapsing state budget authority for state and federally funded encumbrances.  </t>
  </si>
  <si>
    <t>CWA</t>
  </si>
  <si>
    <t>00-0000-1657</t>
  </si>
  <si>
    <t>Cooperative Work Agreements (HQ)</t>
  </si>
  <si>
    <t>The work segment captures time spent by designated staff on various tasks consistent with monitoring, tracking, assisting local agencies, and reporting on federal funds.</t>
  </si>
  <si>
    <t>Funds Management</t>
  </si>
  <si>
    <t>00-0000-1656</t>
  </si>
  <si>
    <t>The work segment captures time spent by designated staff on various tasks developing the annual Local Assistance Program  state and federal subvention budget authority and the biennial Fund Estimate (FE).</t>
  </si>
  <si>
    <t>Subvention Budget Development</t>
  </si>
  <si>
    <t>00-0000-1655</t>
  </si>
  <si>
    <t>5) ACCOUNTABILITY
(Activity Based Workload - No Statewide Product Median or Product Counts)</t>
  </si>
  <si>
    <t>Develop meeting agenda, schedule meeting times and location, arrange speakers, handle logistics, host or participate in team building meetings, and complete related follow-up activities</t>
  </si>
  <si>
    <t>DLA Council Meeting</t>
  </si>
  <si>
    <t>00-0000-1676</t>
  </si>
  <si>
    <t>Liaison Activities</t>
  </si>
  <si>
    <t>00-0000-1672</t>
  </si>
  <si>
    <t>Plan, develop, and manage Cooperative Training Assistance Program (CTAP) and Local Assistance Program (LTAP) service contracts in cooperation with divisions of Procurement and Contracts, and Accounting.  Review new policies and procedures for inclusion into new and existing training courses.</t>
  </si>
  <si>
    <t>Workforce Development</t>
  </si>
  <si>
    <t>00-0000-1677</t>
  </si>
  <si>
    <t>Interpret, provide technical support, and respond to written or verbal inquires regarding local assistance policies, procedures or processes.</t>
  </si>
  <si>
    <t>Policy Guidance</t>
  </si>
  <si>
    <t>00-0000-1674</t>
  </si>
  <si>
    <t>Review and propose improvements to existing policies, processes or procedures.  Analyze and interpret proposed policy changes in response to stakeholder inputs, and new laws and regulations.</t>
  </si>
  <si>
    <t>Policy Development</t>
  </si>
  <si>
    <t>00-0000-1673</t>
  </si>
  <si>
    <t>042T/042R</t>
  </si>
  <si>
    <t>Coordinate efforts with the State Controllers Office and the Division of Audits and Investigations to ensure effective (risk-based) auditing of local assistance projects.  Respond to inquiries and provide guidance and recommendations on incurred costs, pre-awards, post-awards, Indirect Cost Allocation Plan (ICAP) and special audits of local agencies and consultant firms.  Ensure audit findings are addressed appropriately.  Provide training.</t>
  </si>
  <si>
    <t>Audit Coordination</t>
  </si>
  <si>
    <t>00-0000-1679</t>
  </si>
  <si>
    <t>Local Assistance Auditing</t>
  </si>
  <si>
    <t>Plan, manage, update and improve  Local Assistance's website.</t>
  </si>
  <si>
    <t>Webmaster</t>
  </si>
  <si>
    <t>00-0000-1683</t>
  </si>
  <si>
    <t>59A</t>
  </si>
  <si>
    <t>Provide Title VI consultation to districts and local agencies  and develop Title VI policy &amp; procedure.  Perform Title VI Compliance reviews, complaint investigation coordination and reporting.</t>
  </si>
  <si>
    <t>Title VI</t>
  </si>
  <si>
    <t>00-0000-1686</t>
  </si>
  <si>
    <t>Provide ADA consultation to districts and local agencies  and develop ADA policy &amp; procedure.  Perform ADA Compliance reviews, complaint investigation coordination and reporting.</t>
  </si>
  <si>
    <t>ADA</t>
  </si>
  <si>
    <t>00-0000-1678</t>
  </si>
  <si>
    <t>ADA, Title VI, EEO Program Compliance &amp; Documentation</t>
  </si>
  <si>
    <t>Report DBE commitment statistics to the Division of Business and Economic Opportunities (OBEO) every six months (who in turn report to FHWA).  Collect Form FHWA PR-1391, Federal-Aid Highway Construction Contractors, from Districts and forward to OBEO, who forward to FHWA.  Prepare reports for the Small Business Council and others showing DBE commitments and attainments and authorized projects.</t>
  </si>
  <si>
    <t>DBE Reporting</t>
  </si>
  <si>
    <t>00-0000-1682</t>
  </si>
  <si>
    <t>Develop DBE policy &amp; procedures and training for local agencies.  Perform DBE Compliance reviews of local agency's DBE programs and investigate DBE complaints resulting from local agency consultant and construction contracts.</t>
  </si>
  <si>
    <t>DBE</t>
  </si>
  <si>
    <t>00-0000-1681</t>
  </si>
  <si>
    <t xml:space="preserve">Field work, analysis, follow-up and reporting activities related to Federal Highway Administration (FHWA) and Caltrans process reviews of local agency program or project for compliance with federal laws and regulations. </t>
  </si>
  <si>
    <t>Process/Program Review</t>
  </si>
  <si>
    <t>00-0000-1685</t>
  </si>
  <si>
    <t>Federal Compliance Process/Program Review</t>
  </si>
  <si>
    <t>Conduct reviews of local agency's federal-aid construction projects for compliance with federal contract administration requirements.</t>
  </si>
  <si>
    <t>Construction Oversight</t>
  </si>
  <si>
    <t>00-0000-1680</t>
  </si>
  <si>
    <t>Project Construction Oversight</t>
  </si>
  <si>
    <t xml:space="preserve">Edit and update the Local Assistance procedures Manual (LAPM), Local Assistance Program Guidelines (LAPG), Office Bulletins, Caltrans Oversight Information Notices, and other publications. </t>
  </si>
  <si>
    <t>Publications</t>
  </si>
  <si>
    <t>00-0000-1675</t>
  </si>
  <si>
    <t>Local Assistance Publications</t>
  </si>
  <si>
    <t>4) TECHNICAL ASSISTANCE &amp; COMPLIANCE
(Activity Based Workload - No Statewide Product Median or Product Counts)</t>
  </si>
  <si>
    <t xml:space="preserve">Capture time to manage Caltrans ITS Program, provide technical assistance to Districts, local agencies, other Caltrans divisions. author guidelines, coordinate w/ FHWA, </t>
  </si>
  <si>
    <t>ITS (HQ)</t>
  </si>
  <si>
    <t>00-0000-1671</t>
  </si>
  <si>
    <t>Intelligent Transportation Systems Program</t>
  </si>
  <si>
    <t>Time spent by district staff to process CWA/Time Extension Requests submitted by local agencies.</t>
  </si>
  <si>
    <t>Time Extensions / CWA (State Financed) (D)</t>
  </si>
  <si>
    <t>00-0002-0156</t>
  </si>
  <si>
    <t>Cooperative Work Agreements (State Financed)</t>
  </si>
  <si>
    <t>Time Extensions / CWA (Federally Financed) (D)</t>
  </si>
  <si>
    <t>00-0002-0024</t>
  </si>
  <si>
    <t>Cooperative Work Agreements (Federally Financed)</t>
  </si>
  <si>
    <t>Captures time spent by District staff to conduct Process Reviews with HQ Office Policy Development and Quality Assurance in accordance with LAPM</t>
  </si>
  <si>
    <t>Process Review (J)</t>
  </si>
  <si>
    <t>00-0002-0037</t>
  </si>
  <si>
    <t>Development and Quality Assurance Process Review</t>
  </si>
  <si>
    <t>Captures time spent by District staff spent in providing guidance in the Architectural and Engineering (A&amp;E) consultant selection / contracting procedures.  Also captures time spent by staff, at request of local agencies, participating in consultant selection activities</t>
  </si>
  <si>
    <t>Consultant Selection (D)</t>
  </si>
  <si>
    <t>00-0002-0023</t>
  </si>
  <si>
    <t>Architectural &amp; Eng. Consultant Selection and Contracting</t>
  </si>
  <si>
    <t>Capture time spent by District staff providing assistance to local agencies to develop and maintain required Quality Assurance Plans .</t>
  </si>
  <si>
    <t>QAP (D)</t>
  </si>
  <si>
    <t>00-0002-0030</t>
  </si>
  <si>
    <t>Quality Assurance Plan</t>
  </si>
  <si>
    <t xml:space="preserve">Captures staff time exchanging knowledge of Local Assistance policy / procedures (internally).  Includes: review/comment of DLA Local Program Procedures, Office Bulletins, attending training, policy/procedural interpretation related to State Program guidance as well as, other State requirements </t>
  </si>
  <si>
    <t>Policy and Procedure for Delivery (Internal) (J)</t>
  </si>
  <si>
    <t>00-0002-0152</t>
  </si>
  <si>
    <t>Captures time spent by staff on providing assistance to local agencies and their consultants on general knowledge of Local Assistance policies and procedures on State funded projects</t>
  </si>
  <si>
    <t>Policy and Procedures Assistance to Local Agencies (J)</t>
  </si>
  <si>
    <t>00-0002-0153</t>
  </si>
  <si>
    <t xml:space="preserve">Captures staff time exchanging knowledge of Local Assistance policy / procedures (internally).  Includes: policy/procedural interpretation related to federal regulations/eligibility, review/comment of DLA Local Program Procedures, Office Bulletins, attending training, as well as,  Local Assistance and other State requirements </t>
  </si>
  <si>
    <t>00-0002-0035</t>
  </si>
  <si>
    <t>Captures time spent by staff on providing assistance to local agencies and their consultants on general knowledge of Local Assistance policies and procedures on federal funded projects</t>
  </si>
  <si>
    <t>00-0002-0036</t>
  </si>
  <si>
    <t>Policy and Procedures Assistance</t>
  </si>
  <si>
    <t>Time spent by district staff to coordinate with agencies on how they plan to address potential inactive projects.  Results in the processing of justification request, invoice or closing project.</t>
  </si>
  <si>
    <t>Inactive Projects (D)</t>
  </si>
  <si>
    <t>00-0002-0032</t>
  </si>
  <si>
    <t>Inactive-project Management</t>
  </si>
  <si>
    <t>Captures time spent by District staff performing activities pertaining to DBE program, Title VI and federal compliance requirements.</t>
  </si>
  <si>
    <t>DEBE Program/Title VI/Federal Compliance (D)</t>
  </si>
  <si>
    <t>00-0002-0025</t>
  </si>
  <si>
    <t>Disadvantage Business Enterprise</t>
  </si>
  <si>
    <t>Captures time spent by District staff coordinating with local agencies and Caltrans Environmental staff to deliver project environmental documents</t>
  </si>
  <si>
    <t>Env. Coordination (D)</t>
  </si>
  <si>
    <t>00-0002-0026</t>
  </si>
  <si>
    <t>Environmental Coordination</t>
  </si>
  <si>
    <t>3B) PROJECT DELIVERY 
(Activity Based Workload - No Statewide Product Median or Product Counts)</t>
  </si>
  <si>
    <t>Time spent by HQ and district staff processing local agencies Fund Allocation Requests for projects in the State funded Safe Routes to School (SR2S)
program.</t>
  </si>
  <si>
    <t>Subvention Allocation/SOF SR2S (J)</t>
  </si>
  <si>
    <t>00-0002-0144</t>
  </si>
  <si>
    <t>Subvention Mgmt\Allocations &amp; Budget</t>
  </si>
  <si>
    <t>Time spent by HQ and district staff to move allocated funds between components, when requested by local agencies.</t>
  </si>
  <si>
    <t>Fund transfers between components of STIP (J)</t>
  </si>
  <si>
    <t>00-0002-0158</t>
  </si>
  <si>
    <t>Time spent by HQ and district staff processing agency requests for a fund allocation by the CTC for the construction component of work.  Includes preparation of the required CTC submittal package, attending CTC pre-meetings and documenting allocation</t>
  </si>
  <si>
    <t>CON CTC Allocation  (J)</t>
  </si>
  <si>
    <t>00-0002-0136</t>
  </si>
  <si>
    <t>Time spent by HQ and district staff processing agency requests for a fund allocation by the CTC for the right-of-way component of work.  Includes preparation of the required CTC submittal package, attending CTC pre-meetings and documenting allocation</t>
  </si>
  <si>
    <t>R/W CTC Allocation  (J)</t>
  </si>
  <si>
    <t>00-0002-0142</t>
  </si>
  <si>
    <t>Time spent by HQ and district staff processing agency requests for a fund allocation by the CTC for the plan, specifications &amp; estimate component of work.  Includes preparation of the required CTC submittal package, attending CTC pre-meetings and documenting allocation</t>
  </si>
  <si>
    <t>PS&amp;E CTC Allocation (J)</t>
  </si>
  <si>
    <t>00-0002-0140</t>
  </si>
  <si>
    <t>Time spent by HQ and district staff processing agency requests for a fund allocation by the CTC for the environmental &amp; permits component of work.  Includes preparation of the required CTC submittal package, attending CTC pre-meetings and documenting allocation</t>
  </si>
  <si>
    <t>E&amp;P CTC Allocation (J)</t>
  </si>
  <si>
    <t>00-0002-0138</t>
  </si>
  <si>
    <t>Engineering Project Allocations</t>
  </si>
  <si>
    <t>Captures time spent by HQ staff closing out State funded projects from filing District approved Final Report of Expenditures to documenting Local Programs Accounting Notification to archive State funded project history files.</t>
  </si>
  <si>
    <t>LPA notification to Close out (HQ)</t>
  </si>
  <si>
    <t>00-0002-0292</t>
  </si>
  <si>
    <t>Captures time spent by HQ staff closing out federally funded projects from filing District approved Final Report of Expenditures to documenting Local Programs Accounting Notification to archive federal funded project history files.</t>
  </si>
  <si>
    <t>Step 9I to Close out (HQ)</t>
  </si>
  <si>
    <t>00-0002-0290</t>
  </si>
  <si>
    <t>Project Closeout Final Report to Closeout</t>
  </si>
  <si>
    <t>Captures time spent by HQ staff on preparing and processing Administering Agency - State Master Agreements and Program Supplement Agreements for State funded projects.</t>
  </si>
  <si>
    <t>MA and PSA (State Financed)  (HQ)</t>
  </si>
  <si>
    <t>00-0002-0291</t>
  </si>
  <si>
    <t>Captures time spent by HQ staff on preparing and processing Administering Agency - State Master Agreements and Program Supplement Agreements for federally funded projects.</t>
  </si>
  <si>
    <t>MA and PSA (Federally Financed) (HQ)</t>
  </si>
  <si>
    <t>00-0002-0289</t>
  </si>
  <si>
    <t>Master Agreements and Program Supplemental Agreements</t>
  </si>
  <si>
    <t>Captures time spent by District and HQ staff on processing  the "transfer" of FHWA federal funds to the Federal Transit Administration (FTA) as requested by the local agencies</t>
  </si>
  <si>
    <t>FTA Transfer (J)</t>
  </si>
  <si>
    <t>00-0002-0029</t>
  </si>
  <si>
    <t>Federal Transit Administration Transfers</t>
  </si>
  <si>
    <t>Captures time spent by District staff on conducting Maintenance Reviews in accordance with the Local Assistance Procedures Manual (LAPM).</t>
  </si>
  <si>
    <t>Maintenance Review (D)</t>
  </si>
  <si>
    <t>00-0002-0034</t>
  </si>
  <si>
    <t>Maintenance Review</t>
  </si>
  <si>
    <t>Captures time spent by District staff on processing final report of completion and expenditures and document State funded project close out</t>
  </si>
  <si>
    <t>Final Report of Completion &amp; Expenditures (D)</t>
  </si>
  <si>
    <t>00-0002-0149</t>
  </si>
  <si>
    <t>Captures time spent by District staff on processing final report of completion and expenditures and document federally funded project close out</t>
  </si>
  <si>
    <t>00-0002-0027</t>
  </si>
  <si>
    <t>Project Closeout Final Report</t>
  </si>
  <si>
    <t>Captures time spent by District staff for review and processing State funded project progress invoices for local agencies</t>
  </si>
  <si>
    <t>Progress Invoice (D)
State Financed</t>
  </si>
  <si>
    <t>00-0002-0151</t>
  </si>
  <si>
    <t>Progress Invoices (State Financed)</t>
  </si>
  <si>
    <t>Captures time spent by District staff for review and processing federally funded project progress invoices for local agencies</t>
  </si>
  <si>
    <t>Progress Invoice (D)
Federally Financed</t>
  </si>
  <si>
    <t>00-0002-0033</t>
  </si>
  <si>
    <t>Progress Invoices (Federally Financed)</t>
  </si>
  <si>
    <t>Captures time spent by District staff to assist local agencies in completing their State funded award package submittals and reviewing/submitted award packages</t>
  </si>
  <si>
    <t>Review Award Package (D)</t>
  </si>
  <si>
    <t>00-0002-0147</t>
  </si>
  <si>
    <t>Captures time spent by District staff to assist local agencies in completing their federal funded award package submittals and reviewing/submitted award packages</t>
  </si>
  <si>
    <t>00-0002-0022</t>
  </si>
  <si>
    <t>Review Award Package</t>
  </si>
  <si>
    <t>Captures time spent by District staff and RW staff to assist local agencies to comply with federal requirements for RW certifications, as well as, reviewing and approving RW Certifications</t>
  </si>
  <si>
    <t>R/W Coordination and Certifications (D)</t>
  </si>
  <si>
    <t>00-0002-0039</t>
  </si>
  <si>
    <t>Right of Way Certifications</t>
  </si>
  <si>
    <t>Captures time spent by District and HQ staff to assist local agencies in completing their Cost or Scope Adjustment E76 Request for Authorization package, processing the CON E76 and securing authorization from the Federal Highway Administration (FHWA).  Also includes requests request to de-obligate federal funds on inactive projects.</t>
  </si>
  <si>
    <t>Cost Adjustment E-76  (J)</t>
  </si>
  <si>
    <t>00-0002-0017</t>
  </si>
  <si>
    <t>Cost/Scope Adjustment</t>
  </si>
  <si>
    <t>Captures time spent by District and HQ staff to assist local agencies in completing their Construction Request for (federal) Authorization package, processing the CON E76 and securing authorization from the Federal Highway Administration (FHWA)</t>
  </si>
  <si>
    <t>CON E-76 (J)</t>
  </si>
  <si>
    <t>00-0002-0018</t>
  </si>
  <si>
    <t>CON Engineering Project Authorizations</t>
  </si>
  <si>
    <t>State</t>
  </si>
  <si>
    <t>Captures time spent by District and Utility Relocation staff to assist local agencies in completing their Utility Relocation  Request for (federal) Authorization package, processing the Utility Relocation E76 and securing authorization from the Federal Highway Administration (FHWA)</t>
  </si>
  <si>
    <t>Utility Relocation E-76  (J)</t>
  </si>
  <si>
    <t>00-0002-0021</t>
  </si>
  <si>
    <t>Captures time spent by District and RW staff to assist local agencies in completing their RW  Request for (federal) Authorization package, processing the RW E76 and securing authorization from the Federal Highway Administration (FHWA)</t>
  </si>
  <si>
    <t>R/W E-76</t>
  </si>
  <si>
    <t>00-0002-0020</t>
  </si>
  <si>
    <t>Engineering Project Authorizations</t>
  </si>
  <si>
    <t>Captures time spent by District and HQ staff to work with  local agencies, when necessary, to complete their Preliminary Engineering  Request for (federal) Authorization package, processing the PE E76 and securing authorization from the Federal Highway Administration (FHWA)</t>
  </si>
  <si>
    <t>PE E-76 (J)</t>
  </si>
  <si>
    <t>00-0002-0019</t>
  </si>
  <si>
    <t>PE Engineering Project Authorizations</t>
  </si>
  <si>
    <t>Captures time spent by District staff conducting field reviews with local agencies doing the Preliminary Engineering Phase of work.</t>
  </si>
  <si>
    <t>Field Review Package/ meeting (D)</t>
  </si>
  <si>
    <t>00-0002-0028</t>
  </si>
  <si>
    <t>Field Review</t>
  </si>
  <si>
    <t>3A) PROJECT DELIVERY (Product Based Workload)</t>
  </si>
  <si>
    <t xml:space="preserve">Captures time spent by Local Assistance environmental staff in providing training in or presentations to other Local Assistance staff specifically on the NEPA Assignments. </t>
  </si>
  <si>
    <t>NEPA Internal Trainings and Presentations</t>
  </si>
  <si>
    <t>00-0002-0127</t>
  </si>
  <si>
    <t>Captures time spent by Local Assistance environmental staff in providing training in or presentations to other Local Assistance staff on Local Assistance procedures for carrying out the federal environmental processes</t>
  </si>
  <si>
    <t>Environmental- Internal Training (J)</t>
  </si>
  <si>
    <t>00-0002-0120</t>
  </si>
  <si>
    <t>Training (Internal)</t>
  </si>
  <si>
    <t>Captures time spent by District and HQ Local Assistance staff doing presentations to external agencies specifically about the NEPA Assignment and its implications.</t>
  </si>
  <si>
    <t>NEPA External Trainings and Presentations</t>
  </si>
  <si>
    <t>00-0002-0123</t>
  </si>
  <si>
    <t xml:space="preserve">Captures time spent by District and HQ Local Assistance staff and HQ environmental staff in providing training or participating in formal presentations on Local Assistance environmental policy and procedures to local agency staff, consultants, and other agencies or
groups (exclusive of NEPA Delegation training).
</t>
  </si>
  <si>
    <t>Environmental - External Training  (J)</t>
  </si>
  <si>
    <t>00-0002-0116</t>
  </si>
  <si>
    <t>Training (External)</t>
  </si>
  <si>
    <t>Captures time spent by designated Caltrans reviewers, specifically trained to review for all federal environmental requirements, on "high-level" or "federal-level" review of environmental documents and Section 4(f) findings.</t>
  </si>
  <si>
    <t>NEPA QC review</t>
  </si>
  <si>
    <t>00-0002-0128</t>
  </si>
  <si>
    <t>Federal Environmental Compliance &amp; NEPA Assignment (Activity Based)</t>
  </si>
  <si>
    <t xml:space="preserve">Captures time spent by District and HQ Local Assistance staff  in conducting or participating in FHWA audits and Caltrans self-assessment reviews required by 23 CFR 327 and the Section 6005 NEPA Pilot Program MOU between Caltrans and FHWA.  </t>
  </si>
  <si>
    <t>Env. Audits/Reviews SAFETELU #6005</t>
  </si>
  <si>
    <t>00-0002-0131</t>
  </si>
  <si>
    <t>Captures time spent on reporting required by FHWA on approvals of environmental documents, revalidations, Section 4(f) studies, and consultations with resource and regulatory agencies</t>
  </si>
  <si>
    <t>NEPA Reporting</t>
  </si>
  <si>
    <t>00-0002-0134</t>
  </si>
  <si>
    <t xml:space="preserve">Captures time spent by District Local Assistance staff and HQ - Division of Local
Assistance (DLA) environmental staff in conducting or participating in FHWA monitoring reviews and Caltrans internal process reviews
and monitoring reviews by Caltrans Division of Environmental Analysis (DEA) or FHWA  required by the Memorandum of Understanding ( MOU).
</t>
  </si>
  <si>
    <t>Env. Process Review: SAFETEALU #6004</t>
  </si>
  <si>
    <t>00-0002-0129</t>
  </si>
  <si>
    <t>Reporting required by FHWA on Categorical Exclusions and Section 4(f) approvals</t>
  </si>
  <si>
    <t>Env. Reporting: SAFETEA-LU # 6004</t>
  </si>
  <si>
    <t>00-0002-0132</t>
  </si>
  <si>
    <t>Captures time spent by District and HQ Local Assistance environmental staff in conducting or participating in  process reviews by Caltrans or external agencies such as FHWA, GAO , or Dept of Finance(exclusive of NEPA Assignment reviews).</t>
  </si>
  <si>
    <t>Env. Process Reviews: Other than NEPA Assignment (J)</t>
  </si>
  <si>
    <t>00-0002-0008</t>
  </si>
  <si>
    <t xml:space="preserve">Captures time spent by District and HQ Local Assistance environmental staff  providing, analyzing and reporting data on environmental compliance as required by external agencies, such as FHWA or the state legislature. Current routine requirements include annual reporting on wetland and endangered species mitigation and sound wall construction. </t>
  </si>
  <si>
    <t>Env. Reporting: Other than NEPA delegation (J)</t>
  </si>
  <si>
    <t>00-0002-0010</t>
  </si>
  <si>
    <t xml:space="preserve">Captures time spent by HQ environmental staff responding to questions on policy and procedures, and time spent by District and HQ environmental staff, including Divisions of Local Assistance (DLA) and Environmental Analysis (DEA), HQ Legal, and District Local Assistance Engineers or environmental staff in developing DLA environmental policy and procedures.   </t>
  </si>
  <si>
    <t>Environmental Policy and Procedures (J)</t>
  </si>
  <si>
    <t>00-0002-0004</t>
  </si>
  <si>
    <t xml:space="preserve">Captures time spent by District Environmental staff ensuring that environmental commitments are included in environmental documents,  reviewing Project Specifications &amp; Estimates (PS&amp;E), or conducting field inspections to monitor implementation of mitigation during and after construction.   </t>
  </si>
  <si>
    <t>Env. Commitments Compliance Monitoring (J)</t>
  </si>
  <si>
    <t>00-0002-0113</t>
  </si>
  <si>
    <t>Captures time spent by District Environmental staff and Legal for coordinating environmental work for and review of Environmental Impact Statements (EIS) and Supplemental EISs (exclusive of specialist review and consultation with environmental
regulatory agencies).</t>
  </si>
  <si>
    <t>Environmental Impact Statements &amp; Supp. EISs  (J)</t>
  </si>
  <si>
    <t>00-0002-0003</t>
  </si>
  <si>
    <t>Captures time spent by District Environmental staff for coordinating work on  and review of Environmental Assessments (EA) (exclusive of specialist reviews and consultation with environmental regulatory agencies), and, if EA determines an EIS is not necessary, includes coordination and review of Finding of No Significant Impact (FONSI)</t>
  </si>
  <si>
    <t>Environmental Assessments (J)</t>
  </si>
  <si>
    <t>00-0002-0222</t>
  </si>
  <si>
    <t>2B) FEDERAL ENVIRONMENTAL COMPLIANCE &amp; NEPA ASSIGNMENT (Activity Based Workload - No Statewide Product Median or Product Counts)</t>
  </si>
  <si>
    <t xml:space="preserve">Captures time spent by District noise specialists and environmental generalist to coordinate, review and approve technical noise reports and regulatory documents </t>
  </si>
  <si>
    <t>Noise Report (D)</t>
  </si>
  <si>
    <t>00-0002-0007</t>
  </si>
  <si>
    <t xml:space="preserve">Captures time spent by District traffic specialist and environmental generalist to coordinate,  review and approve traffic studies </t>
  </si>
  <si>
    <t>Traffic Report (D)</t>
  </si>
  <si>
    <t>00-0002-0014</t>
  </si>
  <si>
    <t>Captures time spent by District hydraulics expert, DLAE, and environmental generalist to coordinate, review and approve  hydraulics and floodplain reports and regulatory documents.</t>
  </si>
  <si>
    <t>Hydraulics/Floodplain Studies (D)</t>
  </si>
  <si>
    <t>00-0002-0005</t>
  </si>
  <si>
    <t xml:space="preserve">Captures time spent by environmental generalist and specialists to coordinate, review, and approve of  water quality reports and regulatory documents </t>
  </si>
  <si>
    <t>Water Quality Report (D)</t>
  </si>
  <si>
    <t>00-0002-0016</t>
  </si>
  <si>
    <t xml:space="preserve">Captures time spent by District hazardous waste specialists and environmental generalist to coordinate, review, and approve hazardous waste reports and regulatory documents </t>
  </si>
  <si>
    <t>Hazardous Waste (J)</t>
  </si>
  <si>
    <t>00-0002-0006</t>
  </si>
  <si>
    <t>Environmental Technical Studies
(Product Based)</t>
  </si>
  <si>
    <t xml:space="preserve">Captures time spent by District landscape architects and environmental generalist to coordinate, review and approve  Visual Impact Assessment memo or report. 
</t>
  </si>
  <si>
    <t>Visual Resources Report (D)</t>
  </si>
  <si>
    <t>00-0002-0015</t>
  </si>
  <si>
    <t>Federal Environmental Compliance &amp; NEPA Assignment (Product Based)</t>
  </si>
  <si>
    <t xml:space="preserve">Captures time spent by District air quality specialists and environmental generalist for coordination, review and approval of air quality studies and regulatory documents (exclusive of consultation with regulatory agencies). </t>
  </si>
  <si>
    <t>Air Quality (J)</t>
  </si>
  <si>
    <t>00-0002-0098</t>
  </si>
  <si>
    <t xml:space="preserve">This work segment is for time spent by District Environmental staff to coordinate work and review and approve biological studies and regulatory documents  exclusive of regulatory agency consultation under ID 00-0002-0104) . </t>
  </si>
  <si>
    <t>Biology (J)</t>
  </si>
  <si>
    <t>00-0002-0099</t>
  </si>
  <si>
    <t xml:space="preserve">Captures time spent by District Environmental staff for coordinating whatever project-specific studies are needed for Community Impact Assessments (CIA): may include Farmland Impacts, Social Impacts (Community Cohesion), Economic Impacts, Environmental Justice/Title VI of Civil Rights Act, Relocation Impacts, Land Use, Indirect Growth Inducement, and Cumulative Impacts. This also captures work done by Headquarters Division of Environmental Analysis (DEA) specialist to conduct QC Reviews of the CIA technical study for EIS or complex EA.
</t>
  </si>
  <si>
    <t>Community Impact Assessment (J)</t>
  </si>
  <si>
    <t>00-0002-0013</t>
  </si>
  <si>
    <t xml:space="preserve">Captures time spent by District environmental generalist staff and by District and HQ cultural resources specialists for coordination, review and approval of technical studies and regulatory compliance documents  (exclusive of consultation with regulatory agencies under ID 00-0002-0104)
</t>
  </si>
  <si>
    <t>Cultural Resources/Section 106 Studies(J)</t>
  </si>
  <si>
    <t>00-0002-0109</t>
  </si>
  <si>
    <t>Captures time spent by District environmental generalist staff and cultural resource specialists for consultation with the State Historic Preservation Officer (SHPO), Advisory Council on Historic Preservation (ACHP), or the Keeper of the National Register regarding properties protected by Section 106 of the National Historic Preservation Act (Section 106).</t>
  </si>
  <si>
    <t>Cultural Resources Regulatory Agency Consultations (J)</t>
  </si>
  <si>
    <t>00-0002-0104</t>
  </si>
  <si>
    <t>Captures time spent by District biologists and environmental generalist for mandated consultation with federal regulatory agencies (US Fish and Wildlife Service (FWS), U.S. National Oceanic and Atmospheric Administration Fisheries Service (NOAA Fisheries) to determine a transportation project's  effects to species protected by Section 7 of the Endangered Species Act and various other federal species protection acts and to negotiate appropriate mitigation for any adverse effects.</t>
  </si>
  <si>
    <t>Biological Regulatory Agency Consultation (D)</t>
  </si>
  <si>
    <t>00-0002-0100</t>
  </si>
  <si>
    <t xml:space="preserve">Captures time spent by District Environmental staff to coordinate and review  revalidation of Categorical Exclusions (CE) and Environmental Assessments (EA), or re-evaluation of Environmental Impact Statements (EIS), after certain defined time periods, or when project scope changes, or when projects move to the next federal approval (PE, RW, Construction)
</t>
  </si>
  <si>
    <t>Revalidation and Re-evaluation (J)</t>
  </si>
  <si>
    <t>00-0002-0011</t>
  </si>
  <si>
    <t xml:space="preserve">Captures time spent by District Environmental and, if necessary, HQ Environmental and Legal staff  coordinating,  reviewing, and approving  studies documenting "Section 4(f)"   statements or "de minims" findings.
</t>
  </si>
  <si>
    <t>Section 4(f) Evaluation  (J)</t>
  </si>
  <si>
    <t>00-0002-0012</t>
  </si>
  <si>
    <t>Captures time spent by District Environmental generalist and specialist staff,
after the Preliminary Environmental Study (PES) form is signed, for coordinating and approving
environmental work for Categorical Exclusions (CE), exclusive of specialist reviews of technical
reports and consultation with environmental regulatory agencies</t>
  </si>
  <si>
    <t>Categorical Exclusion  (D)</t>
  </si>
  <si>
    <t>00-0002-0106</t>
  </si>
  <si>
    <t>Captures time spent by District generalist and specialist Environmental staff  working with local agency to identify required environmental studies and potential for environmental impacts, documented in signed Preliminary Environmental Study (PES) form</t>
  </si>
  <si>
    <t>PES/Field Review (D)</t>
  </si>
  <si>
    <t>00-0002-0009</t>
  </si>
  <si>
    <t>2A) FEDERAL ENVIRONMENTAL COMPLIANCE &amp; NEPA ASSIGNMENT (Product Based Workload)</t>
  </si>
  <si>
    <t xml:space="preserve">The work segment captures time spent by District staff on various tasks to coordinate with local agencies in project solicitation and selection for the various State programs. </t>
  </si>
  <si>
    <t>State programs projects solicitation and selection (D)</t>
  </si>
  <si>
    <t>00-0002-0155</t>
  </si>
  <si>
    <t xml:space="preserve">The work segment captures time spent by District staff on various tasks to coordinate with local agencies in project solicitation and selection for the various Federal programs. </t>
  </si>
  <si>
    <t>Federal programs, projects solicitation and selection(D)</t>
  </si>
  <si>
    <t>00-0002-0038</t>
  </si>
  <si>
    <t>Projects Solicitation and Selection</t>
  </si>
  <si>
    <t>13A</t>
  </si>
  <si>
    <t xml:space="preserve"> The Coordinator and staff also monitor the timely use of STIP funds, facilitate allocation and extension requests, and compile tracking data and develop reports for STIP projects. </t>
  </si>
  <si>
    <t>STIP Program Tracking and Reporting</t>
  </si>
  <si>
    <t>00-0002-0257</t>
  </si>
  <si>
    <t>This work segment captures time spent by HQ Local Assistance STIP Coordinator and support staff on coordinating efforts for CTC vote boxes, agendas items, action taken reports and time extension notification letters.</t>
  </si>
  <si>
    <t>STIP Program Coordination and Management</t>
  </si>
  <si>
    <t>00-0002-0279</t>
  </si>
  <si>
    <t xml:space="preserve">This work segment captures time spent by the HQ Local Assistance STIP Coordinator and/or HQ STIP Support staff performing STIP Program tasks such as: researching and updating guidelines, interpreting and answering questions regarding policy, developing and administering training. </t>
  </si>
  <si>
    <t>STIP Program Policy and Guidelines</t>
  </si>
  <si>
    <t>00-0002-0278</t>
  </si>
  <si>
    <t>State Transportation Improvement Program (For the RTIP Portion of the STIP and a portion of ITIP)</t>
  </si>
  <si>
    <t>The work segment captures time spent by designated headquarters staff of the Office of Special and Discretionary Programs (OSDP) to coordinate project tracking and reporting for the HPP program with Federal Highway Administration (FHWA), Headquarters, District and local agency staff in.  It also captures time spent giving training on the HPP program</t>
  </si>
  <si>
    <t>HPP Program Coordination and Database (HQ)</t>
  </si>
  <si>
    <t>00-0002-0288</t>
  </si>
  <si>
    <t xml:space="preserve">The work segment captures time spent by designated headquarters staff of the Office of Special and Discretionary Programs to coordinate and manage the HPP program with Federal Highway Administration (FHWA), District staff and local agencies.  </t>
  </si>
  <si>
    <t>HPP Program Policy and Guidelines (HQ)</t>
  </si>
  <si>
    <t>00-0002-0287</t>
  </si>
  <si>
    <t>High Priority Projects Program</t>
  </si>
  <si>
    <t>The work segment captures time spent by designated headquarters staff of the Office of Special and Discretionary Programs (OSDP) coordinating project tracking and reporting for the ER program to Federal Highway Administration (FHWA), California Emergency Management Agency (Cal EMA), District staff and local agencies.  It also captures time spent providing training on the ER program.</t>
  </si>
  <si>
    <t>ER Program Coordination and Database (HQ)</t>
  </si>
  <si>
    <t>00-0002-0286</t>
  </si>
  <si>
    <t xml:space="preserve">The work segment captures time spent by designated headquarters staff of the Office of Special and Discretionary Programs (OSDP) to coordinate and manage project solicitation and selection for the ER program with Federal Highways Administration (FHWA), District staff and local agencies.  </t>
  </si>
  <si>
    <t>ER Project solicitation and selection (HQ)</t>
  </si>
  <si>
    <t>00-0002-0285</t>
  </si>
  <si>
    <t>The work segment captures time spent by designated headquarters staff of the Office of Special and Discretionary Programs (OSDP) to coordinate managing the ER program with Federal Highways Administration (FHWA), District staff and local agencies.</t>
  </si>
  <si>
    <t>ER Program Policy and Guidelines (HQ)</t>
  </si>
  <si>
    <t>00-0002-0284</t>
  </si>
  <si>
    <t>Emergency Relief Program</t>
  </si>
  <si>
    <t>The work segment captures time spent by designated headquarters staff of the Office of Special and Discretionary Programs (OSDP) to coordinate project tracking and reporting for the EEM program with Headquarters, District and local agency staff.</t>
  </si>
  <si>
    <t>EEM Program Coordination and Database (HQ)</t>
  </si>
  <si>
    <t>00-0002-0283</t>
  </si>
  <si>
    <t>The work segment captures time spent by designated headquarters staff of the Office of Special and Discretionary Programs (OSDP) to coordinate project solicitation and selection for the EEM program with District staff and local agencies.</t>
  </si>
  <si>
    <t>EEM Project solicitation and selection (HQ)</t>
  </si>
  <si>
    <t>00-0002-0282</t>
  </si>
  <si>
    <t>The work segment captures time spent by designated headquarters staff of the Office of Special and Discretionary Programs (OSPD) on various tasks to coordinate with District staff and local agencies in managing the EEM program.</t>
  </si>
  <si>
    <t>EEM Program Policy and Guidelines (HQ)</t>
  </si>
  <si>
    <t>00-0002-0281</t>
  </si>
  <si>
    <t>Environmental Enhancement and Mitigation Program</t>
  </si>
  <si>
    <t>The work segment captures time spent by designated HQ Staff compiling tracking data and developing reports.</t>
  </si>
  <si>
    <t>Discretionary Prog. Coordination and Database (HQ)</t>
  </si>
  <si>
    <t>00-0002-0270</t>
  </si>
  <si>
    <t>The work segment captures time spent by designated HQ Staff performing the project solicitation (call for projects) and selection.</t>
  </si>
  <si>
    <t>Discretionary  Program Solicitation and Selection (HQ)</t>
  </si>
  <si>
    <t>00-0002-0267</t>
  </si>
  <si>
    <t>The work segment captures time spent by designated HQ Staff, from the Office of Special and Discretionary Programs (OSDP), on 1 State funded and 8 federally funded Discretionary programs researching and updating guidelines, and interpreting and answering questions regarding policy and policy changes.</t>
  </si>
  <si>
    <t>Discretionary Program Policy and Guidelines (HQ)</t>
  </si>
  <si>
    <t>00-0002-0265</t>
  </si>
  <si>
    <t>Federal Discretionary Program</t>
  </si>
  <si>
    <t>BIKE Facilities Unit, CA Bicycle Coalition Contract OE (HQ)</t>
  </si>
  <si>
    <t>00-0000-1482</t>
  </si>
  <si>
    <t>BIKE Facilities Unit, Operation Expense (HQ)</t>
  </si>
  <si>
    <t>00-0000-0798</t>
  </si>
  <si>
    <t>BIKE Program-Personal Services (D)</t>
  </si>
  <si>
    <t>00-0000-0797</t>
  </si>
  <si>
    <t xml:space="preserve">The work segment captures time spent by designated staff of the Office of Special and Discretionary Programs on various tasks to plan, develop and monitor the BTA program, and coordinate with District staff and local agencies in project solicitation and selection for the BTA program. </t>
  </si>
  <si>
    <t>BTA Personal Services, Sate Funds (HQ)</t>
  </si>
  <si>
    <t>00-0002-0356</t>
  </si>
  <si>
    <t xml:space="preserve">The work segment captures time spent by designated staff of the Office of Special and Discretionary Programs on various tasks to coordinate with Headquarters, District and local agency staff in project tracking and reporting for the Bicycle Transportation Account (BTA) program. </t>
  </si>
  <si>
    <t>BTA Program Coordination and Database</t>
  </si>
  <si>
    <t>00-0002-0331</t>
  </si>
  <si>
    <t xml:space="preserve">The work segment captures time spent by designated staff of the Office of Special and Discretionary Programs on various tasks to coordinate with District staff and local agencies in project solicitation and selection for the Bicycle Transportation Account (BTA) program. </t>
  </si>
  <si>
    <t xml:space="preserve">BTA Project solicitation and selection </t>
  </si>
  <si>
    <t>00-0002-0264</t>
  </si>
  <si>
    <t>The work segment captures time spent by designated staff of the Office of Special and Discretionary Programs on various tasks to coordinate with District staff and local agencies in managing the Bicycle Transportation Account (BTA) program.</t>
  </si>
  <si>
    <t>BTA Program Policy and Guidelines</t>
  </si>
  <si>
    <t>00-0002-0263</t>
  </si>
  <si>
    <t>Bicycle Transportation Account Program</t>
  </si>
  <si>
    <t>The work segment captures time spent by designated headquarters staff of the Office of Special and Discretionary Programs (OPDP) on various tasks to coordinate with Headquarters, District and local agency staff in project tracking and reporting for the TE program. It also captures time spent by the staff on updating and maintaining the database of the TE program.</t>
  </si>
  <si>
    <t>TE Program Coordination and Database</t>
  </si>
  <si>
    <t>00-0002-0261</t>
  </si>
  <si>
    <t xml:space="preserve">The work segment captures time spent by designated headquarters staff of the Office of Special and Discretionary Programs (OSDP) on various tasks to coordinate with District staff and local agencies in project solicitation and selection for the TE program.  Captures time spent giving training on TE solicitation and selection.  </t>
  </si>
  <si>
    <t xml:space="preserve">TE Project solicitation and selection </t>
  </si>
  <si>
    <t>00-0002-0330</t>
  </si>
  <si>
    <t>The work segment captures time spent by designated headquarters staff of the Office of Special and Discretionary Programs (OSDP) on various tasks to coordinate with Federal Highway Administration (FHWA), California Transportation Commission (CTC), District staff and local agencies in managing the TE program.  It also captures time spent giving training on TE policies and guidelines.</t>
  </si>
  <si>
    <t>TE Program Policy and Guidelines</t>
  </si>
  <si>
    <t>00-0002-0258</t>
  </si>
  <si>
    <t>Transportation Enhancement Program</t>
  </si>
  <si>
    <t>042T/890</t>
  </si>
  <si>
    <t>Track project delivery for Federal Safe Routes to School Program (SRTS).</t>
  </si>
  <si>
    <t>SRTS Database and Tracking</t>
  </si>
  <si>
    <t>00-0002-0329</t>
  </si>
  <si>
    <t xml:space="preserve">Solicit applications from local agencies and select projects for Federal Safe Routes to School Program (SRTS).  </t>
  </si>
  <si>
    <t xml:space="preserve">SRTS Project solicitation and selection </t>
  </si>
  <si>
    <t>00-0002-0276</t>
  </si>
  <si>
    <t>Manage Federal Safe Routes to School Program (SRTS).</t>
  </si>
  <si>
    <t>SRTS Program Coordination and Management</t>
  </si>
  <si>
    <t>00-0002-0275</t>
  </si>
  <si>
    <t xml:space="preserve">Update program policies and guidelines for Federal Safe Routes to School Program (SRTS).  </t>
  </si>
  <si>
    <t>SRTS Program Policy and Guidelines</t>
  </si>
  <si>
    <t>00-0002-0274</t>
  </si>
  <si>
    <t>Federal Safe Routes to School Program</t>
  </si>
  <si>
    <t>Track project delivery for State Safe Routes to School Program (SR2S).</t>
  </si>
  <si>
    <t>SR2S Database and Tracking</t>
  </si>
  <si>
    <t>00-0002-0273</t>
  </si>
  <si>
    <t>Solicit applications from local agencies and select projects for State Safe Routes to School Program (SR2S).</t>
  </si>
  <si>
    <t xml:space="preserve">SR2S Project Solicitation and Selection </t>
  </si>
  <si>
    <t>00-0002-0269</t>
  </si>
  <si>
    <t>Manage State Safe Routes to School Program (SR2S).</t>
  </si>
  <si>
    <t>SR2S Program Coordination and Management</t>
  </si>
  <si>
    <t>00-0002-0266</t>
  </si>
  <si>
    <t>Update program policies and guidelines for State Safe Routes to School Program (SR2S).</t>
  </si>
  <si>
    <t>SR2S Program Policy and Guidelines</t>
  </si>
  <si>
    <t>00-0002-0260</t>
  </si>
  <si>
    <t>State Safe Routes to School Program</t>
  </si>
  <si>
    <t>Track project delivery for High Risk Rural Roads Program (HR3).</t>
  </si>
  <si>
    <t>HR3 Database and Tracking</t>
  </si>
  <si>
    <t>00-0002-0256</t>
  </si>
  <si>
    <t>Solicit applications from local agencies and select projects for High Risk Rural Roads Program (HR3).</t>
  </si>
  <si>
    <t xml:space="preserve">HR3 Project Solicitation and Selection </t>
  </si>
  <si>
    <t>00-0002-0328</t>
  </si>
  <si>
    <t>Manage High Risk Rural Roads Program (HR3).</t>
  </si>
  <si>
    <t>HR3 Program Coordination and Management</t>
  </si>
  <si>
    <t>00-0002-0255</t>
  </si>
  <si>
    <t>Update program policies and guidelines for High Risk Rural Roads Program (HR3).</t>
  </si>
  <si>
    <t>HR3 Program Policy and Guidelines</t>
  </si>
  <si>
    <t>00-0002-0254</t>
  </si>
  <si>
    <t>High Risk Rural Roads Program</t>
  </si>
  <si>
    <t>Develop and implement recommendations from Strategic Highway Safety Plan (SHSP).</t>
  </si>
  <si>
    <t>SHSP (Strategic Highway Safety Plan)</t>
  </si>
  <si>
    <t>00-0002-0277</t>
  </si>
  <si>
    <t>Track project delivery for Highway Safety Improvement Program (HSIP).</t>
  </si>
  <si>
    <t>HSIP Database and Tracking</t>
  </si>
  <si>
    <t>00-0000-1669</t>
  </si>
  <si>
    <t>Solicit applications from local agencies and select projects for Highway Safety Improvement Program (HSIP).</t>
  </si>
  <si>
    <t>HSIP Project Solicitation and Selection</t>
  </si>
  <si>
    <t>00-0000-1668</t>
  </si>
  <si>
    <t>Manage Highway Safety Improvement Program (HSIP).</t>
  </si>
  <si>
    <t>HSIP Program Coordination and Management</t>
  </si>
  <si>
    <t>00-0000-1667</t>
  </si>
  <si>
    <t>Update program policies and guidelines for Highway Safety Improvement Program (HSIP).</t>
  </si>
  <si>
    <t>HSIP Program Policy and Guidelines</t>
  </si>
  <si>
    <t>00-0000-1666</t>
  </si>
  <si>
    <t>Highway Safety Improvement Program</t>
  </si>
  <si>
    <t>This segment captures time spent by HQ staff managing the Local Bridge Seismic Retrofit Program (LBSRP)</t>
  </si>
  <si>
    <t>LBSRP Program Coordination and Management</t>
  </si>
  <si>
    <t>00-0000-1665</t>
  </si>
  <si>
    <t>This segment captures time spent by HQ staff updating program policy and guidelines for Local Bridge Seismic Retrofit Program (LBSRP)</t>
  </si>
  <si>
    <t>LBSRP Policy and Guidelines</t>
  </si>
  <si>
    <t>00-0000-1664</t>
  </si>
  <si>
    <t xml:space="preserve">Local Bridge Seismic Retrofit Program LBSRP </t>
  </si>
  <si>
    <t>This segment captures time spent by HQ staff managing the Highway Bridge Inspection/Scour Evaluation Program</t>
  </si>
  <si>
    <t>Bridge Inspection Program</t>
  </si>
  <si>
    <t>00-0000-1663</t>
  </si>
  <si>
    <t>Track project delivery for Highway Bridge Program (HBP) and Local Bridge Seismic Retrofit Program (LBSRP)</t>
  </si>
  <si>
    <t>HBP Database and Tracking</t>
  </si>
  <si>
    <t>00-0000-1662</t>
  </si>
  <si>
    <t>This segment captures time spent by HQ staff determining eligibility and selecting projects to be funded from the Highway Bridge Program (HBP)</t>
  </si>
  <si>
    <t xml:space="preserve">HBP Project Solicitation and Selection </t>
  </si>
  <si>
    <t>00-0000-1661</t>
  </si>
  <si>
    <t>This segment captures time spent by HQ staff managing the Highway Bridge Program (HBP)</t>
  </si>
  <si>
    <t>HBP Program Coordination and Management</t>
  </si>
  <si>
    <t>00-0000-1660</t>
  </si>
  <si>
    <t>This work segment captures time spent by HQ staff updating program policy and guidelines for the Highway Bridge Program (HBP)</t>
  </si>
  <si>
    <t>HBP Program Policy and Guidelines</t>
  </si>
  <si>
    <t>00-0000-1659</t>
  </si>
  <si>
    <t>This work segment captures time spent by District staff on various activities working with HQ program coordinator(s) to manage the Highway Bridge Program (HBP) to deliver final selected projects lists.</t>
  </si>
  <si>
    <t>Highway Bridge Program Management (D)</t>
  </si>
  <si>
    <t>00-0002-0031</t>
  </si>
  <si>
    <t>Highway Bridge Program</t>
  </si>
  <si>
    <t>G:\Safety\OBSP - Workload Standards Task Force - 2009\Standards Detail Sheet Updates 2011_06</t>
  </si>
  <si>
    <t>1) PROGRAM MANAGEMENT
(Activity Based Workload - No Statewide Product Median or Product Counts)</t>
  </si>
  <si>
    <t>OE&amp;E</t>
  </si>
  <si>
    <t>PS</t>
  </si>
  <si>
    <t>HQ HRS</t>
  </si>
  <si>
    <t>HQ Product Count</t>
  </si>
  <si>
    <t>HQ Product Work Norm</t>
  </si>
  <si>
    <t>District Total Hours</t>
  </si>
  <si>
    <t>D77*
Hours</t>
  </si>
  <si>
    <t>D12
Hours</t>
  </si>
  <si>
    <t>D12
Product Count</t>
  </si>
  <si>
    <t>D11
Hours</t>
  </si>
  <si>
    <t>D11
Product Count</t>
  </si>
  <si>
    <t>D10
Hours</t>
  </si>
  <si>
    <t>D10
Product Count</t>
  </si>
  <si>
    <t>D9
Hours</t>
  </si>
  <si>
    <t>D9
Product Count</t>
  </si>
  <si>
    <t>D8
Hours</t>
  </si>
  <si>
    <t>D8
Product Count</t>
  </si>
  <si>
    <t>D7
Hours</t>
  </si>
  <si>
    <t>D7
Product Count</t>
  </si>
  <si>
    <t>D6
Hours</t>
  </si>
  <si>
    <t>D6
Product Count</t>
  </si>
  <si>
    <t>D5
Hours</t>
  </si>
  <si>
    <t>D5
Product Count</t>
  </si>
  <si>
    <t>D4
Hours</t>
  </si>
  <si>
    <t>D4
Product Count</t>
  </si>
  <si>
    <t>D3
Hours</t>
  </si>
  <si>
    <t>D3
Product Count</t>
  </si>
  <si>
    <t>D2
Hours</t>
  </si>
  <si>
    <t>D2
Product Count</t>
  </si>
  <si>
    <t>D1
Hours</t>
  </si>
  <si>
    <t>D1
Product Count</t>
  </si>
  <si>
    <t>Statewide Product Norm</t>
  </si>
  <si>
    <t>SUPPORT FUNDS SOURCE</t>
  </si>
  <si>
    <t>FY 12-13 TOTAL
DOLLARS</t>
  </si>
  <si>
    <t>FY 12-13 DOLLARS
BUDGETED</t>
  </si>
  <si>
    <t>HQ PRODUCTS AND HOURS
(D50)</t>
  </si>
  <si>
    <t>DISTRICT PRODUCTS and HOURS</t>
  </si>
  <si>
    <t>DESCRIPTION</t>
  </si>
  <si>
    <t>TASK</t>
  </si>
  <si>
    <t>CHARGE CODE
(PROJECT ID'S)</t>
  </si>
  <si>
    <t>MAJOR ACTIVITY</t>
  </si>
  <si>
    <t>FUNCTION</t>
  </si>
  <si>
    <t>The column titles for this worksheet are in row 2. They span cells A2 through AM2 inclusive. The data spans cells A4 through AI187.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</si>
</sst>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quot;$&quot;* #,##0_);_(&quot;$&quot;* \(#,##0\);_(&quot;$&quot;* &quot;-&quot;??_);_(@_)"/>
    <numFmt numFmtId="166" formatCode="#,##0.0"/>
    <numFmt numFmtId="167" formatCode="&quot;$&quot;#,##0"/>
  </numFmts>
  <fonts count="12" x14ac:knownFonts="1">
    <font>
      <sz val="11"/>
      <color theme="1"/>
      <name val="Calibri"/>
      <family val="2"/>
      <scheme val="minor"/>
    </font>
    <font>
      <sz val="11"/>
      <color theme="1"/>
      <name val="Calibri"/>
      <family val="2"/>
      <scheme val="minor"/>
    </font>
    <font>
      <sz val="11"/>
      <name val="Times New Roman"/>
      <family val="1"/>
    </font>
    <font>
      <b/>
      <sz val="11"/>
      <name val="Times New Roman"/>
      <family val="1"/>
    </font>
    <font>
      <sz val="10"/>
      <name val="Arial"/>
      <family val="2"/>
    </font>
    <font>
      <sz val="11"/>
      <color theme="0" tint="-0.14999847407452621"/>
      <name val="Times New Roman"/>
      <family val="1"/>
    </font>
    <font>
      <b/>
      <sz val="16"/>
      <name val="Times New Roman"/>
      <family val="1"/>
    </font>
    <font>
      <sz val="12"/>
      <name val="Times New Roman"/>
      <family val="1"/>
    </font>
    <font>
      <sz val="16"/>
      <color theme="1"/>
      <name val="Calibri"/>
      <family val="2"/>
      <scheme val="minor"/>
    </font>
    <font>
      <sz val="16"/>
      <name val="Times New Roman"/>
      <family val="1"/>
    </font>
    <font>
      <sz val="11"/>
      <color theme="1"/>
      <name val="Times New Roman"/>
      <family val="1"/>
    </font>
    <font>
      <sz val="11"/>
      <color theme="0" tint="-0.34998626667073579"/>
      <name val="Times New Roman"/>
      <family val="1"/>
    </font>
  </fonts>
  <fills count="14">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A47D52"/>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8" tint="0.79998168889431442"/>
        <bgColor indexed="64"/>
      </patternFill>
    </fill>
    <fill>
      <gradientFill degree="270">
        <stop position="0">
          <color theme="0" tint="-5.0965910824915313E-2"/>
        </stop>
        <stop position="1">
          <color theme="0" tint="-0.25098422193060094"/>
        </stop>
      </gradientFill>
    </fill>
  </fills>
  <borders count="27">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5">
    <xf numFmtId="0" fontId="0" fillId="0" borderId="0"/>
    <xf numFmtId="164" fontId="1"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cellStyleXfs>
  <cellXfs count="239">
    <xf numFmtId="0" fontId="0" fillId="0" borderId="0" xfId="0"/>
    <xf numFmtId="0" fontId="2" fillId="0" borderId="0" xfId="0" applyFont="1"/>
    <xf numFmtId="0" fontId="2" fillId="0" borderId="0" xfId="0" applyFont="1" applyAlignment="1">
      <alignment horizontal="center" vertical="center"/>
    </xf>
    <xf numFmtId="165" fontId="2" fillId="0" borderId="0" xfId="1" applyNumberFormat="1" applyFont="1" applyAlignment="1">
      <alignment horizontal="center" vertical="center"/>
    </xf>
    <xf numFmtId="3" fontId="2" fillId="0" borderId="0" xfId="0" applyNumberFormat="1"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2" borderId="0" xfId="0" applyFont="1" applyFill="1" applyAlignment="1">
      <alignment horizontal="center"/>
    </xf>
    <xf numFmtId="3" fontId="2" fillId="0" borderId="0"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3" fontId="3" fillId="0" borderId="0" xfId="0" applyNumberFormat="1" applyFont="1" applyAlignment="1">
      <alignment horizontal="center" vertical="center"/>
    </xf>
    <xf numFmtId="3" fontId="3" fillId="0" borderId="0" xfId="0" applyNumberFormat="1" applyFont="1" applyFill="1" applyBorder="1" applyAlignment="1">
      <alignment horizontal="center" vertical="center"/>
    </xf>
    <xf numFmtId="0" fontId="2" fillId="0" borderId="0" xfId="0" applyFont="1" applyAlignment="1">
      <alignment horizontal="right" vertical="center" wrapText="1"/>
    </xf>
    <xf numFmtId="166" fontId="2" fillId="0" borderId="0" xfId="0" applyNumberFormat="1" applyFont="1" applyAlignment="1">
      <alignment horizontal="center" vertical="center"/>
    </xf>
    <xf numFmtId="166" fontId="2" fillId="0" borderId="0" xfId="0" applyNumberFormat="1" applyFont="1" applyFill="1" applyAlignment="1">
      <alignment horizontal="center" vertical="center"/>
    </xf>
    <xf numFmtId="167" fontId="2" fillId="0" borderId="0" xfId="0" applyNumberFormat="1" applyFont="1" applyAlignment="1">
      <alignment horizontal="center" vertical="center"/>
    </xf>
    <xf numFmtId="0" fontId="2" fillId="0" borderId="0" xfId="2" applyFont="1" applyFill="1" applyBorder="1"/>
    <xf numFmtId="0" fontId="2" fillId="0" borderId="0" xfId="2" applyFont="1" applyFill="1" applyBorder="1" applyAlignment="1">
      <alignment vertical="center" wrapText="1"/>
    </xf>
    <xf numFmtId="0" fontId="2" fillId="0" borderId="0" xfId="2" applyFont="1" applyFill="1" applyBorder="1" applyAlignment="1">
      <alignment horizontal="center" vertical="center"/>
    </xf>
    <xf numFmtId="0" fontId="2" fillId="0" borderId="0" xfId="0" applyFont="1" applyFill="1"/>
    <xf numFmtId="0" fontId="2" fillId="0" borderId="1" xfId="0" applyFont="1" applyFill="1" applyBorder="1" applyAlignment="1">
      <alignment horizontal="center" vertical="center"/>
    </xf>
    <xf numFmtId="165" fontId="2" fillId="0" borderId="2" xfId="1"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xf>
    <xf numFmtId="49" fontId="2" fillId="0" borderId="2" xfId="2" applyNumberFormat="1" applyFont="1" applyFill="1" applyBorder="1" applyAlignment="1">
      <alignment vertical="center" wrapText="1"/>
    </xf>
    <xf numFmtId="0" fontId="2" fillId="0" borderId="4" xfId="0" applyFont="1" applyFill="1" applyBorder="1" applyAlignment="1">
      <alignment horizontal="center" vertical="center"/>
    </xf>
    <xf numFmtId="165" fontId="2" fillId="0" borderId="5" xfId="1" applyNumberFormat="1" applyFont="1" applyFill="1" applyBorder="1" applyAlignment="1">
      <alignment horizontal="center" vertical="center"/>
    </xf>
    <xf numFmtId="3" fontId="2" fillId="0" borderId="5" xfId="0" applyNumberFormat="1" applyFont="1" applyFill="1" applyBorder="1" applyAlignment="1">
      <alignment horizontal="center" vertical="center"/>
    </xf>
    <xf numFmtId="3" fontId="2" fillId="0" borderId="6"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vertical="center"/>
    </xf>
    <xf numFmtId="0" fontId="2" fillId="0" borderId="5" xfId="2" applyFont="1" applyFill="1" applyBorder="1" applyAlignment="1">
      <alignment vertical="center" wrapText="1"/>
    </xf>
    <xf numFmtId="49" fontId="2" fillId="0" borderId="5" xfId="0" applyNumberFormat="1" applyFont="1" applyFill="1" applyBorder="1" applyAlignment="1">
      <alignment horizontal="center" vertical="center"/>
    </xf>
    <xf numFmtId="0" fontId="2" fillId="0" borderId="5" xfId="2" applyFont="1" applyFill="1" applyBorder="1" applyAlignment="1">
      <alignment horizontal="center" vertical="center"/>
    </xf>
    <xf numFmtId="0" fontId="2" fillId="0" borderId="5" xfId="2" applyFont="1" applyFill="1" applyBorder="1" applyAlignment="1">
      <alignment vertical="center"/>
    </xf>
    <xf numFmtId="0" fontId="2" fillId="0" borderId="5" xfId="0" applyFont="1" applyFill="1" applyBorder="1" applyAlignment="1">
      <alignment vertical="center" wrapText="1"/>
    </xf>
    <xf numFmtId="0" fontId="5" fillId="0" borderId="0" xfId="0" applyFont="1" applyFill="1"/>
    <xf numFmtId="3" fontId="5" fillId="0" borderId="0" xfId="0" applyNumberFormat="1" applyFont="1" applyFill="1"/>
    <xf numFmtId="49" fontId="2" fillId="0" borderId="5" xfId="2" applyNumberFormat="1" applyFont="1" applyFill="1" applyBorder="1" applyAlignment="1">
      <alignment vertical="center" wrapText="1"/>
    </xf>
    <xf numFmtId="0" fontId="2" fillId="0" borderId="5" xfId="2" applyFont="1" applyFill="1" applyBorder="1" applyAlignment="1">
      <alignment horizontal="left" vertical="center" wrapText="1"/>
    </xf>
    <xf numFmtId="0" fontId="2" fillId="0" borderId="8" xfId="0" applyFont="1" applyFill="1" applyBorder="1" applyAlignment="1">
      <alignment horizontal="center" vertical="center"/>
    </xf>
    <xf numFmtId="165" fontId="2" fillId="0" borderId="6" xfId="1"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6" xfId="0" applyFont="1" applyFill="1" applyBorder="1" applyAlignment="1">
      <alignment vertical="center"/>
    </xf>
    <xf numFmtId="0" fontId="2" fillId="0" borderId="6" xfId="0" applyFont="1" applyFill="1" applyBorder="1" applyAlignment="1">
      <alignment vertical="center" wrapText="1"/>
    </xf>
    <xf numFmtId="49" fontId="2" fillId="0" borderId="6" xfId="0" applyNumberFormat="1" applyFont="1" applyFill="1" applyBorder="1" applyAlignment="1">
      <alignment horizontal="center" vertical="center"/>
    </xf>
    <xf numFmtId="0" fontId="2" fillId="3" borderId="10" xfId="0" applyFont="1" applyFill="1" applyBorder="1" applyAlignment="1">
      <alignment horizontal="center" vertical="center"/>
    </xf>
    <xf numFmtId="3" fontId="3" fillId="3" borderId="11" xfId="0" applyNumberFormat="1" applyFont="1" applyFill="1" applyBorder="1" applyAlignment="1">
      <alignment horizontal="center" vertical="center"/>
    </xf>
    <xf numFmtId="3" fontId="2" fillId="3" borderId="12" xfId="0" applyNumberFormat="1"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2" xfId="0" applyFont="1" applyFill="1" applyBorder="1" applyAlignment="1">
      <alignment vertical="center" wrapText="1"/>
    </xf>
    <xf numFmtId="0" fontId="2" fillId="0" borderId="14" xfId="0" applyFont="1" applyFill="1" applyBorder="1" applyAlignment="1">
      <alignment horizontal="center" vertical="center"/>
    </xf>
    <xf numFmtId="165" fontId="2" fillId="0" borderId="15" xfId="1" applyNumberFormat="1" applyFont="1" applyFill="1" applyBorder="1" applyAlignment="1">
      <alignment horizontal="center" vertical="center"/>
    </xf>
    <xf numFmtId="3" fontId="2" fillId="0" borderId="15" xfId="0" applyNumberFormat="1" applyFont="1" applyFill="1" applyBorder="1" applyAlignment="1">
      <alignment horizontal="center" vertical="center"/>
    </xf>
    <xf numFmtId="3" fontId="2" fillId="0" borderId="16" xfId="0" applyNumberFormat="1"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5" xfId="0" applyFont="1" applyFill="1" applyBorder="1" applyAlignment="1">
      <alignment vertical="center" wrapText="1"/>
    </xf>
    <xf numFmtId="0" fontId="2" fillId="0" borderId="15" xfId="0" applyFont="1" applyFill="1" applyBorder="1" applyAlignment="1">
      <alignment horizontal="center" vertical="center"/>
    </xf>
    <xf numFmtId="0" fontId="2" fillId="0" borderId="5"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2" borderId="0" xfId="0" applyFont="1" applyFill="1"/>
    <xf numFmtId="0" fontId="2" fillId="4" borderId="10" xfId="0" applyFont="1" applyFill="1" applyBorder="1" applyAlignment="1">
      <alignment horizontal="center" vertical="center"/>
    </xf>
    <xf numFmtId="3" fontId="2" fillId="4" borderId="11" xfId="0" applyNumberFormat="1" applyFont="1" applyFill="1" applyBorder="1" applyAlignment="1">
      <alignment horizontal="center" vertical="center"/>
    </xf>
    <xf numFmtId="3" fontId="2" fillId="4" borderId="12" xfId="0" applyNumberFormat="1" applyFont="1" applyFill="1" applyBorder="1" applyAlignment="1">
      <alignment horizontal="center" vertical="center"/>
    </xf>
    <xf numFmtId="0" fontId="3" fillId="4" borderId="12" xfId="0" applyFont="1" applyFill="1" applyBorder="1" applyAlignment="1">
      <alignment horizontal="center" vertical="center" wrapText="1"/>
    </xf>
    <xf numFmtId="0" fontId="3" fillId="4" borderId="12" xfId="0" applyFont="1" applyFill="1" applyBorder="1" applyAlignment="1">
      <alignment vertical="center" wrapText="1"/>
    </xf>
    <xf numFmtId="165" fontId="2" fillId="0" borderId="0" xfId="0" applyNumberFormat="1" applyFont="1" applyFill="1"/>
    <xf numFmtId="0" fontId="2" fillId="0" borderId="15" xfId="2" applyFont="1" applyFill="1" applyBorder="1" applyAlignment="1">
      <alignment horizontal="center" vertical="center" wrapText="1"/>
    </xf>
    <xf numFmtId="0" fontId="2" fillId="0" borderId="15" xfId="2" applyFont="1" applyFill="1" applyBorder="1" applyAlignment="1">
      <alignment vertical="center" wrapText="1"/>
    </xf>
    <xf numFmtId="0" fontId="2" fillId="0" borderId="5" xfId="0" applyFont="1" applyFill="1" applyBorder="1" applyAlignment="1">
      <alignment horizontal="center" vertical="center" wrapText="1"/>
    </xf>
    <xf numFmtId="0" fontId="2" fillId="5" borderId="10" xfId="0" applyFont="1" applyFill="1" applyBorder="1" applyAlignment="1">
      <alignment horizontal="center" vertical="center"/>
    </xf>
    <xf numFmtId="3" fontId="3" fillId="5" borderId="11" xfId="0" applyNumberFormat="1" applyFont="1" applyFill="1" applyBorder="1" applyAlignment="1">
      <alignment horizontal="center" vertical="center"/>
    </xf>
    <xf numFmtId="3" fontId="2" fillId="5" borderId="12" xfId="0" applyNumberFormat="1" applyFont="1" applyFill="1" applyBorder="1" applyAlignment="1">
      <alignment horizontal="center" vertical="center"/>
    </xf>
    <xf numFmtId="0" fontId="3" fillId="5" borderId="12" xfId="0" applyFont="1" applyFill="1" applyBorder="1" applyAlignment="1">
      <alignment horizontal="center" vertical="center" wrapText="1"/>
    </xf>
    <xf numFmtId="0" fontId="3" fillId="5" borderId="12" xfId="0" applyFont="1" applyFill="1" applyBorder="1" applyAlignment="1">
      <alignment vertical="center" wrapText="1"/>
    </xf>
    <xf numFmtId="49" fontId="2" fillId="0" borderId="5" xfId="2" applyNumberFormat="1" applyFont="1" applyFill="1" applyBorder="1" applyAlignment="1">
      <alignment horizontal="center" vertical="center"/>
    </xf>
    <xf numFmtId="49" fontId="2" fillId="0" borderId="5" xfId="2" applyNumberFormat="1" applyFont="1" applyFill="1" applyBorder="1" applyAlignment="1">
      <alignment horizontal="center" vertical="center" wrapText="1"/>
    </xf>
    <xf numFmtId="0" fontId="2" fillId="0" borderId="6" xfId="2" applyFont="1" applyFill="1" applyBorder="1" applyAlignment="1">
      <alignment horizontal="center" vertical="center" wrapText="1"/>
    </xf>
    <xf numFmtId="0" fontId="2" fillId="0" borderId="6" xfId="2" applyFont="1" applyFill="1" applyBorder="1" applyAlignment="1">
      <alignment vertical="center" wrapText="1"/>
    </xf>
    <xf numFmtId="0" fontId="2" fillId="6" borderId="10" xfId="0" applyFont="1" applyFill="1" applyBorder="1" applyAlignment="1">
      <alignment horizontal="center" vertical="center"/>
    </xf>
    <xf numFmtId="3" fontId="2" fillId="6" borderId="11" xfId="0" applyNumberFormat="1" applyFont="1" applyFill="1" applyBorder="1" applyAlignment="1">
      <alignment horizontal="center" vertical="center"/>
    </xf>
    <xf numFmtId="3" fontId="2" fillId="6" borderId="12" xfId="0" applyNumberFormat="1" applyFont="1" applyFill="1" applyBorder="1" applyAlignment="1">
      <alignment horizontal="center" vertical="center"/>
    </xf>
    <xf numFmtId="0" fontId="3" fillId="6" borderId="12" xfId="0" applyFont="1" applyFill="1" applyBorder="1" applyAlignment="1">
      <alignment horizontal="center" vertical="center" wrapText="1"/>
    </xf>
    <xf numFmtId="0" fontId="3" fillId="6" borderId="12" xfId="0" applyFont="1" applyFill="1" applyBorder="1" applyAlignment="1">
      <alignment vertical="center" wrapText="1"/>
    </xf>
    <xf numFmtId="49" fontId="2" fillId="0" borderId="15" xfId="2" applyNumberFormat="1" applyFont="1" applyFill="1" applyBorder="1" applyAlignment="1">
      <alignment horizontal="center" vertical="center"/>
    </xf>
    <xf numFmtId="0" fontId="3" fillId="0" borderId="17"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0" xfId="0" applyFont="1" applyFill="1" applyBorder="1"/>
    <xf numFmtId="49" fontId="2" fillId="0" borderId="6" xfId="0" applyNumberFormat="1" applyFont="1" applyFill="1" applyBorder="1" applyAlignment="1">
      <alignment horizontal="center" vertical="center" wrapText="1"/>
    </xf>
    <xf numFmtId="0" fontId="3" fillId="0" borderId="9" xfId="0" applyFont="1" applyFill="1" applyBorder="1" applyAlignment="1">
      <alignment horizontal="center" vertical="center"/>
    </xf>
    <xf numFmtId="0" fontId="2" fillId="7" borderId="19" xfId="0" applyFont="1" applyFill="1" applyBorder="1" applyAlignment="1">
      <alignment horizontal="center" vertical="center"/>
    </xf>
    <xf numFmtId="165" fontId="7" fillId="7" borderId="11" xfId="1" applyNumberFormat="1" applyFont="1" applyFill="1" applyBorder="1" applyAlignment="1">
      <alignment horizontal="center" vertical="center"/>
    </xf>
    <xf numFmtId="3" fontId="2" fillId="7" borderId="11" xfId="0" applyNumberFormat="1" applyFont="1" applyFill="1" applyBorder="1" applyAlignment="1">
      <alignment horizontal="center" vertical="center"/>
    </xf>
    <xf numFmtId="3" fontId="2" fillId="7" borderId="12" xfId="0" applyNumberFormat="1" applyFont="1" applyFill="1" applyBorder="1" applyAlignment="1">
      <alignment horizontal="center" vertical="center"/>
    </xf>
    <xf numFmtId="0" fontId="3" fillId="7" borderId="12" xfId="0" applyFont="1" applyFill="1" applyBorder="1" applyAlignment="1">
      <alignment horizontal="center" vertical="center" wrapText="1"/>
    </xf>
    <xf numFmtId="0" fontId="3" fillId="7" borderId="12" xfId="0" applyFont="1" applyFill="1" applyBorder="1" applyAlignment="1">
      <alignment vertical="center" wrapText="1"/>
    </xf>
    <xf numFmtId="49" fontId="2" fillId="0" borderId="15" xfId="2" applyNumberFormat="1" applyFont="1" applyFill="1" applyBorder="1" applyAlignment="1">
      <alignment horizontal="center" vertical="center" wrapText="1"/>
    </xf>
    <xf numFmtId="49" fontId="2" fillId="0" borderId="6" xfId="2" applyNumberFormat="1" applyFont="1" applyFill="1" applyBorder="1" applyAlignment="1">
      <alignment horizontal="center" vertical="center"/>
    </xf>
    <xf numFmtId="49" fontId="2" fillId="0" borderId="6" xfId="2" applyNumberFormat="1" applyFont="1" applyFill="1" applyBorder="1" applyAlignment="1">
      <alignment horizontal="center" vertical="center" wrapText="1"/>
    </xf>
    <xf numFmtId="0" fontId="2" fillId="8" borderId="10" xfId="0" applyFont="1" applyFill="1" applyBorder="1" applyAlignment="1">
      <alignment horizontal="center" vertical="center"/>
    </xf>
    <xf numFmtId="3" fontId="2" fillId="8" borderId="11" xfId="0" applyNumberFormat="1" applyFont="1" applyFill="1" applyBorder="1" applyAlignment="1">
      <alignment horizontal="center" vertical="center"/>
    </xf>
    <xf numFmtId="3" fontId="2" fillId="8" borderId="12" xfId="0" applyNumberFormat="1" applyFont="1" applyFill="1" applyBorder="1" applyAlignment="1">
      <alignment horizontal="center" vertical="center"/>
    </xf>
    <xf numFmtId="0" fontId="3" fillId="8" borderId="12" xfId="0" applyFont="1" applyFill="1" applyBorder="1" applyAlignment="1">
      <alignment horizontal="center" vertical="center" wrapText="1"/>
    </xf>
    <xf numFmtId="0" fontId="3" fillId="8" borderId="12" xfId="0" applyFont="1" applyFill="1" applyBorder="1" applyAlignment="1">
      <alignment vertical="center" wrapText="1"/>
    </xf>
    <xf numFmtId="1" fontId="2" fillId="0" borderId="15" xfId="2" applyNumberFormat="1" applyFont="1" applyFill="1" applyBorder="1" applyAlignment="1">
      <alignment horizontal="center" vertical="center" wrapText="1"/>
    </xf>
    <xf numFmtId="1" fontId="2" fillId="0" borderId="5" xfId="2" applyNumberFormat="1" applyFont="1" applyFill="1" applyBorder="1" applyAlignment="1">
      <alignment horizontal="center" vertical="center" wrapText="1"/>
    </xf>
    <xf numFmtId="3" fontId="2" fillId="0" borderId="5" xfId="2" applyNumberFormat="1" applyFont="1" applyFill="1" applyBorder="1" applyAlignment="1">
      <alignment horizontal="center" vertical="center" wrapText="1"/>
    </xf>
    <xf numFmtId="3" fontId="2" fillId="0" borderId="6" xfId="2" applyNumberFormat="1" applyFont="1" applyFill="1" applyBorder="1" applyAlignment="1">
      <alignment horizontal="center" vertical="center" wrapText="1"/>
    </xf>
    <xf numFmtId="3" fontId="2" fillId="0" borderId="15" xfId="2" applyNumberFormat="1" applyFont="1" applyFill="1" applyBorder="1" applyAlignment="1">
      <alignment horizontal="center" vertical="center" wrapText="1"/>
    </xf>
    <xf numFmtId="1" fontId="2" fillId="0" borderId="6" xfId="0" applyNumberFormat="1" applyFont="1" applyFill="1" applyBorder="1" applyAlignment="1">
      <alignment horizontal="center" vertical="center" wrapText="1"/>
    </xf>
    <xf numFmtId="49" fontId="2" fillId="0" borderId="6" xfId="0" applyNumberFormat="1" applyFont="1" applyFill="1" applyBorder="1" applyAlignment="1">
      <alignment vertical="center" wrapText="1"/>
    </xf>
    <xf numFmtId="0" fontId="2" fillId="0" borderId="5" xfId="2" applyNumberFormat="1" applyFont="1" applyFill="1" applyBorder="1" applyAlignment="1">
      <alignment horizontal="center" vertical="center" wrapText="1"/>
    </xf>
    <xf numFmtId="0" fontId="2" fillId="0" borderId="5" xfId="2" applyNumberFormat="1" applyFont="1" applyFill="1" applyBorder="1" applyAlignment="1">
      <alignment vertical="center" wrapText="1"/>
    </xf>
    <xf numFmtId="0" fontId="2" fillId="9" borderId="10" xfId="0" applyFont="1" applyFill="1" applyBorder="1" applyAlignment="1">
      <alignment horizontal="center" vertical="center"/>
    </xf>
    <xf numFmtId="165" fontId="2" fillId="9" borderId="11" xfId="1" applyNumberFormat="1" applyFont="1" applyFill="1" applyBorder="1" applyAlignment="1">
      <alignment horizontal="center" vertical="center"/>
    </xf>
    <xf numFmtId="3" fontId="2" fillId="9" borderId="11" xfId="0" applyNumberFormat="1" applyFont="1" applyFill="1" applyBorder="1" applyAlignment="1">
      <alignment horizontal="center" vertical="center"/>
    </xf>
    <xf numFmtId="3" fontId="2" fillId="9" borderId="12" xfId="0" applyNumberFormat="1" applyFont="1" applyFill="1" applyBorder="1" applyAlignment="1">
      <alignment horizontal="center" vertical="center"/>
    </xf>
    <xf numFmtId="0" fontId="3" fillId="9" borderId="12" xfId="0" applyFont="1" applyFill="1" applyBorder="1" applyAlignment="1">
      <alignment horizontal="center" vertical="center" wrapText="1"/>
    </xf>
    <xf numFmtId="0" fontId="3" fillId="9" borderId="12" xfId="0" applyFont="1" applyFill="1" applyBorder="1" applyAlignment="1">
      <alignment vertical="center" wrapText="1"/>
    </xf>
    <xf numFmtId="1" fontId="2" fillId="0" borderId="5" xfId="0" applyNumberFormat="1" applyFont="1" applyFill="1" applyBorder="1" applyAlignment="1">
      <alignment horizontal="center" vertical="center" wrapText="1"/>
    </xf>
    <xf numFmtId="0" fontId="2" fillId="0" borderId="6" xfId="2" applyFont="1" applyFill="1" applyBorder="1" applyAlignment="1">
      <alignment horizontal="center" vertical="center"/>
    </xf>
    <xf numFmtId="0" fontId="3" fillId="0" borderId="6" xfId="0" applyFont="1" applyFill="1" applyBorder="1" applyAlignment="1">
      <alignment horizontal="center" vertical="center"/>
    </xf>
    <xf numFmtId="0" fontId="9" fillId="2" borderId="0" xfId="0" applyFont="1" applyFill="1" applyBorder="1"/>
    <xf numFmtId="0" fontId="9" fillId="0" borderId="0" xfId="0" applyFont="1" applyBorder="1"/>
    <xf numFmtId="0" fontId="9" fillId="9" borderId="10" xfId="0" applyFont="1" applyFill="1" applyBorder="1" applyAlignment="1">
      <alignment horizontal="center" vertical="center"/>
    </xf>
    <xf numFmtId="3" fontId="9" fillId="9" borderId="11" xfId="0" applyNumberFormat="1" applyFont="1" applyFill="1" applyBorder="1" applyAlignment="1">
      <alignment horizontal="center" vertical="center"/>
    </xf>
    <xf numFmtId="3" fontId="9" fillId="9" borderId="12" xfId="0" applyNumberFormat="1" applyFont="1" applyFill="1" applyBorder="1" applyAlignment="1">
      <alignment horizontal="center" vertical="center"/>
    </xf>
    <xf numFmtId="0" fontId="6" fillId="9" borderId="12" xfId="0" applyFont="1" applyFill="1" applyBorder="1" applyAlignment="1">
      <alignment horizontal="center" vertical="center" wrapText="1"/>
    </xf>
    <xf numFmtId="0" fontId="6" fillId="9" borderId="12" xfId="0" applyFont="1" applyFill="1" applyBorder="1" applyAlignment="1">
      <alignment vertical="center" wrapText="1"/>
    </xf>
    <xf numFmtId="0" fontId="10" fillId="0" borderId="20" xfId="0" applyFont="1" applyFill="1" applyBorder="1" applyAlignment="1">
      <alignment horizontal="center" vertical="top" wrapText="1"/>
    </xf>
    <xf numFmtId="0" fontId="10" fillId="0" borderId="21" xfId="0" applyFont="1" applyFill="1" applyBorder="1" applyAlignment="1">
      <alignment vertical="top" wrapText="1"/>
    </xf>
    <xf numFmtId="0" fontId="10" fillId="0" borderId="21" xfId="0" applyFont="1" applyFill="1" applyBorder="1" applyAlignment="1">
      <alignment horizontal="center" vertical="top" wrapText="1"/>
    </xf>
    <xf numFmtId="0"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vertical="center" wrapText="1"/>
    </xf>
    <xf numFmtId="0" fontId="10" fillId="0" borderId="22" xfId="0" applyFont="1" applyFill="1" applyBorder="1" applyAlignment="1">
      <alignment horizontal="center" vertical="top" wrapText="1"/>
    </xf>
    <xf numFmtId="0" fontId="10" fillId="0" borderId="22" xfId="0" applyFont="1" applyFill="1" applyBorder="1" applyAlignment="1">
      <alignment vertical="top" wrapText="1"/>
    </xf>
    <xf numFmtId="0" fontId="10" fillId="0" borderId="6" xfId="0" applyFont="1" applyFill="1" applyBorder="1" applyAlignment="1">
      <alignment horizontal="center" vertical="top" wrapText="1"/>
    </xf>
    <xf numFmtId="0" fontId="10" fillId="0" borderId="6" xfId="0" applyFont="1" applyFill="1" applyBorder="1" applyAlignment="1">
      <alignment vertical="top" wrapText="1"/>
    </xf>
    <xf numFmtId="0" fontId="10" fillId="0" borderId="5" xfId="0" applyFont="1" applyFill="1" applyBorder="1" applyAlignment="1">
      <alignment horizontal="center" vertical="top" wrapText="1"/>
    </xf>
    <xf numFmtId="0" fontId="10" fillId="0" borderId="5" xfId="0" applyFont="1" applyFill="1" applyBorder="1" applyAlignment="1">
      <alignment vertical="top" wrapText="1"/>
    </xf>
    <xf numFmtId="0" fontId="2" fillId="0" borderId="5" xfId="2" applyFont="1" applyFill="1" applyBorder="1" applyAlignment="1">
      <alignment horizontal="center" vertical="top" wrapText="1"/>
    </xf>
    <xf numFmtId="0" fontId="2" fillId="0" borderId="5" xfId="2" applyFont="1" applyFill="1" applyBorder="1" applyAlignment="1">
      <alignment vertical="top" wrapText="1"/>
    </xf>
    <xf numFmtId="49" fontId="2" fillId="0" borderId="5" xfId="0" applyNumberFormat="1" applyFont="1" applyFill="1" applyBorder="1" applyAlignment="1">
      <alignment horizontal="center" vertical="center" wrapText="1"/>
    </xf>
    <xf numFmtId="0" fontId="10" fillId="0" borderId="0" xfId="0" applyFont="1" applyFill="1" applyAlignment="1">
      <alignment horizontal="center" vertical="top" wrapText="1"/>
    </xf>
    <xf numFmtId="0" fontId="10" fillId="0" borderId="0" xfId="0" applyFont="1" applyFill="1" applyAlignment="1">
      <alignment vertical="top" wrapText="1"/>
    </xf>
    <xf numFmtId="49" fontId="2" fillId="0" borderId="5" xfId="0" applyNumberFormat="1" applyFont="1" applyFill="1" applyBorder="1" applyAlignment="1">
      <alignment vertical="center" wrapText="1"/>
    </xf>
    <xf numFmtId="3" fontId="2" fillId="0" borderId="5" xfId="0" applyNumberFormat="1" applyFont="1" applyFill="1" applyBorder="1" applyAlignment="1">
      <alignment vertical="center"/>
    </xf>
    <xf numFmtId="0" fontId="2" fillId="0" borderId="6" xfId="0" applyNumberFormat="1" applyFont="1" applyFill="1" applyBorder="1" applyAlignment="1">
      <alignment horizontal="center" vertical="center" wrapText="1"/>
    </xf>
    <xf numFmtId="0" fontId="2" fillId="0" borderId="6" xfId="0" applyNumberFormat="1" applyFont="1" applyFill="1" applyBorder="1" applyAlignment="1">
      <alignment vertical="center" wrapText="1"/>
    </xf>
    <xf numFmtId="0" fontId="2" fillId="10" borderId="10" xfId="0" applyFont="1" applyFill="1" applyBorder="1" applyAlignment="1">
      <alignment horizontal="center" vertical="center"/>
    </xf>
    <xf numFmtId="3" fontId="3" fillId="10" borderId="11" xfId="0" applyNumberFormat="1" applyFont="1" applyFill="1" applyBorder="1" applyAlignment="1">
      <alignment horizontal="center" vertical="center"/>
    </xf>
    <xf numFmtId="3" fontId="2" fillId="10" borderId="13" xfId="0" applyNumberFormat="1" applyFont="1" applyFill="1" applyBorder="1" applyAlignment="1">
      <alignment horizontal="center" vertical="center"/>
    </xf>
    <xf numFmtId="0" fontId="2" fillId="10" borderId="13" xfId="0" applyFont="1" applyFill="1" applyBorder="1" applyAlignment="1">
      <alignment horizontal="center" vertical="center"/>
    </xf>
    <xf numFmtId="0" fontId="2" fillId="10" borderId="13" xfId="0" applyFont="1" applyFill="1" applyBorder="1" applyAlignment="1">
      <alignment horizontal="center" vertical="center" wrapText="1"/>
    </xf>
    <xf numFmtId="0" fontId="2" fillId="10" borderId="23" xfId="0" applyFont="1" applyFill="1" applyBorder="1" applyAlignment="1">
      <alignment vertical="center" wrapText="1"/>
    </xf>
    <xf numFmtId="165" fontId="3" fillId="11" borderId="24" xfId="1" applyNumberFormat="1" applyFont="1" applyFill="1" applyBorder="1" applyAlignment="1">
      <alignment horizontal="center" vertical="center" wrapText="1"/>
    </xf>
    <xf numFmtId="0" fontId="3" fillId="12" borderId="24" xfId="0" applyFont="1" applyFill="1" applyBorder="1" applyAlignment="1">
      <alignment horizontal="center" vertical="center" wrapText="1"/>
    </xf>
    <xf numFmtId="3" fontId="3" fillId="3" borderId="24" xfId="0" applyNumberFormat="1"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13" borderId="24" xfId="0" applyFont="1" applyFill="1" applyBorder="1" applyAlignment="1">
      <alignment horizontal="center" vertical="center" wrapText="1"/>
    </xf>
    <xf numFmtId="0" fontId="3" fillId="13" borderId="23" xfId="0" applyFont="1" applyFill="1" applyBorder="1" applyAlignment="1">
      <alignment horizontal="center" vertical="center" wrapText="1"/>
    </xf>
    <xf numFmtId="0" fontId="2" fillId="0" borderId="0" xfId="0" applyFont="1" applyAlignment="1">
      <alignment horizontal="center" vertical="center"/>
    </xf>
    <xf numFmtId="0" fontId="2" fillId="0" borderId="15" xfId="2" applyFont="1" applyFill="1" applyBorder="1" applyAlignment="1">
      <alignment horizontal="center" vertical="center" wrapText="1"/>
    </xf>
    <xf numFmtId="0" fontId="2" fillId="0" borderId="6" xfId="2" applyFont="1" applyFill="1" applyBorder="1" applyAlignment="1">
      <alignment horizontal="center" vertical="center" wrapText="1"/>
    </xf>
    <xf numFmtId="1" fontId="2" fillId="0" borderId="15" xfId="2" applyNumberFormat="1" applyFont="1" applyFill="1" applyBorder="1" applyAlignment="1">
      <alignment horizontal="center" vertical="center" wrapText="1"/>
    </xf>
    <xf numFmtId="1" fontId="2" fillId="0" borderId="6" xfId="2" applyNumberFormat="1" applyFont="1" applyFill="1" applyBorder="1" applyAlignment="1">
      <alignment horizontal="center" vertical="center" wrapText="1"/>
    </xf>
    <xf numFmtId="0" fontId="3" fillId="12" borderId="13" xfId="0" applyFont="1" applyFill="1" applyBorder="1" applyAlignment="1">
      <alignment horizontal="center" vertical="center" wrapText="1"/>
    </xf>
    <xf numFmtId="0" fontId="3" fillId="12" borderId="12" xfId="0" applyFont="1" applyFill="1" applyBorder="1" applyAlignment="1">
      <alignment horizontal="center" vertical="center" wrapText="1"/>
    </xf>
    <xf numFmtId="0" fontId="3" fillId="12" borderId="10" xfId="0" applyFont="1" applyFill="1" applyBorder="1" applyAlignment="1">
      <alignment horizontal="center" vertical="center" wrapText="1"/>
    </xf>
    <xf numFmtId="3" fontId="2" fillId="0" borderId="5" xfId="0" applyNumberFormat="1" applyFont="1" applyFill="1" applyBorder="1" applyAlignment="1">
      <alignment horizontal="center" vertical="center"/>
    </xf>
    <xf numFmtId="3" fontId="3" fillId="0" borderId="0" xfId="0" applyNumberFormat="1" applyFont="1" applyAlignment="1">
      <alignment horizontal="center" vertical="center"/>
    </xf>
    <xf numFmtId="0" fontId="2" fillId="0" borderId="0" xfId="0" applyFont="1" applyAlignment="1">
      <alignment horizontal="center" vertical="center"/>
    </xf>
    <xf numFmtId="1" fontId="2" fillId="0" borderId="16" xfId="2" applyNumberFormat="1" applyFont="1" applyFill="1" applyBorder="1" applyAlignment="1">
      <alignment horizontal="center" vertical="center" wrapText="1"/>
    </xf>
    <xf numFmtId="0" fontId="3" fillId="0" borderId="7" xfId="0" applyFont="1" applyFill="1" applyBorder="1" applyAlignment="1">
      <alignment horizontal="center" vertical="center"/>
    </xf>
    <xf numFmtId="49" fontId="2" fillId="0" borderId="5"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7" xfId="0" applyFont="1" applyFill="1" applyBorder="1" applyAlignment="1">
      <alignment horizontal="center" vertical="center"/>
    </xf>
    <xf numFmtId="49" fontId="2" fillId="0" borderId="5" xfId="2" applyNumberFormat="1" applyFont="1" applyFill="1" applyBorder="1" applyAlignment="1">
      <alignment horizontal="center" vertical="center" wrapText="1"/>
    </xf>
    <xf numFmtId="49" fontId="2" fillId="0" borderId="15" xfId="2" applyNumberFormat="1" applyFont="1" applyFill="1" applyBorder="1" applyAlignment="1">
      <alignment horizontal="center" vertical="center" wrapText="1"/>
    </xf>
    <xf numFmtId="0" fontId="2" fillId="0" borderId="5" xfId="2" applyFont="1" applyFill="1" applyBorder="1" applyAlignment="1">
      <alignment horizontal="center" vertical="center" wrapText="1"/>
    </xf>
    <xf numFmtId="0" fontId="6" fillId="10" borderId="13"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6" fillId="10" borderId="10"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11" borderId="23" xfId="0" applyFont="1" applyFill="1" applyBorder="1" applyAlignment="1">
      <alignment horizontal="center" vertical="center" wrapText="1"/>
    </xf>
    <xf numFmtId="0" fontId="3" fillId="11" borderId="24" xfId="0" applyFont="1" applyFill="1" applyBorder="1" applyAlignment="1">
      <alignment horizontal="center" vertical="center" wrapText="1"/>
    </xf>
    <xf numFmtId="0" fontId="3" fillId="0" borderId="26" xfId="0" applyFont="1" applyBorder="1" applyAlignment="1">
      <alignment horizontal="center"/>
    </xf>
    <xf numFmtId="0" fontId="3" fillId="0" borderId="25" xfId="0" applyFont="1" applyBorder="1" applyAlignment="1">
      <alignment horizontal="center"/>
    </xf>
    <xf numFmtId="0" fontId="3" fillId="13" borderId="23" xfId="0" applyFont="1" applyFill="1" applyBorder="1" applyAlignment="1">
      <alignment horizontal="center" vertical="center" wrapText="1"/>
    </xf>
    <xf numFmtId="0" fontId="3" fillId="13" borderId="24" xfId="0" applyFont="1" applyFill="1" applyBorder="1" applyAlignment="1">
      <alignment horizontal="center" vertical="center" wrapText="1"/>
    </xf>
    <xf numFmtId="0" fontId="2" fillId="0" borderId="24" xfId="0" applyFont="1" applyBorder="1" applyAlignment="1">
      <alignment horizontal="center" vertical="center"/>
    </xf>
    <xf numFmtId="165" fontId="3" fillId="11" borderId="23" xfId="1" applyNumberFormat="1" applyFont="1" applyFill="1" applyBorder="1" applyAlignment="1">
      <alignment horizontal="center" vertical="center" wrapText="1"/>
    </xf>
    <xf numFmtId="165" fontId="3" fillId="11" borderId="23" xfId="1" applyNumberFormat="1" applyFont="1" applyFill="1" applyBorder="1" applyAlignment="1">
      <alignment horizontal="center" vertical="center"/>
    </xf>
    <xf numFmtId="165" fontId="3" fillId="11" borderId="24" xfId="1" applyNumberFormat="1" applyFont="1" applyFill="1" applyBorder="1" applyAlignment="1">
      <alignment horizontal="center" vertical="center" wrapText="1"/>
    </xf>
    <xf numFmtId="0" fontId="3" fillId="3" borderId="23" xfId="0" applyFont="1" applyFill="1" applyBorder="1" applyAlignment="1">
      <alignment horizontal="center" vertical="center"/>
    </xf>
    <xf numFmtId="0" fontId="3" fillId="0" borderId="9"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3" fillId="0" borderId="9" xfId="0" applyFont="1" applyFill="1" applyBorder="1" applyAlignment="1">
      <alignment horizontal="center" vertical="center"/>
    </xf>
    <xf numFmtId="0" fontId="6" fillId="9" borderId="13" xfId="0" applyFont="1" applyFill="1" applyBorder="1" applyAlignment="1">
      <alignment horizontal="left" vertical="center" wrapText="1"/>
    </xf>
    <xf numFmtId="0" fontId="6" fillId="9" borderId="12"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6" fillId="8" borderId="13" xfId="0" applyFont="1" applyFill="1" applyBorder="1" applyAlignment="1">
      <alignment horizontal="left" vertical="center" wrapText="1"/>
    </xf>
    <xf numFmtId="0" fontId="8" fillId="0" borderId="12" xfId="0" applyFont="1" applyBorder="1"/>
    <xf numFmtId="3" fontId="2" fillId="0" borderId="15" xfId="2" applyNumberFormat="1" applyFont="1" applyFill="1" applyBorder="1" applyAlignment="1">
      <alignment horizontal="center" vertical="center" wrapText="1"/>
    </xf>
    <xf numFmtId="3" fontId="2" fillId="0" borderId="6" xfId="2" applyNumberFormat="1" applyFont="1" applyFill="1" applyBorder="1" applyAlignment="1">
      <alignment horizontal="center" vertical="center" wrapText="1"/>
    </xf>
    <xf numFmtId="0" fontId="2" fillId="0" borderId="4" xfId="0" applyFont="1" applyFill="1" applyBorder="1" applyAlignment="1">
      <alignment horizontal="center" vertical="center"/>
    </xf>
    <xf numFmtId="165" fontId="2" fillId="0" borderId="5" xfId="1" applyNumberFormat="1" applyFont="1" applyFill="1" applyBorder="1" applyAlignment="1">
      <alignment horizontal="center" vertical="center"/>
    </xf>
    <xf numFmtId="3" fontId="2" fillId="0" borderId="16" xfId="2"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5" xfId="0" applyFont="1" applyFill="1" applyBorder="1" applyAlignment="1">
      <alignment vertical="center" wrapText="1"/>
    </xf>
    <xf numFmtId="49" fontId="2" fillId="0" borderId="5" xfId="2" applyNumberFormat="1" applyFont="1" applyFill="1" applyBorder="1" applyAlignment="1">
      <alignment vertical="center" wrapText="1"/>
    </xf>
    <xf numFmtId="0" fontId="6" fillId="6" borderId="12"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6" fillId="4" borderId="1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3" borderId="13"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2" fillId="0" borderId="6" xfId="0" applyFont="1" applyFill="1" applyBorder="1" applyAlignment="1">
      <alignment vertical="center" wrapText="1"/>
    </xf>
    <xf numFmtId="49" fontId="2" fillId="0" borderId="5" xfId="2" applyNumberFormat="1" applyFont="1" applyFill="1" applyBorder="1" applyAlignment="1">
      <alignment horizontal="left" vertical="center" wrapText="1"/>
    </xf>
    <xf numFmtId="0" fontId="3" fillId="0" borderId="18" xfId="0" applyFont="1" applyFill="1" applyBorder="1" applyAlignment="1">
      <alignment horizontal="center" vertical="center"/>
    </xf>
    <xf numFmtId="0" fontId="2" fillId="0" borderId="16" xfId="0" applyFont="1" applyFill="1" applyBorder="1" applyAlignment="1">
      <alignment horizontal="center" vertical="center" wrapText="1"/>
    </xf>
    <xf numFmtId="0" fontId="6" fillId="8" borderId="12"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6" fillId="7" borderId="12" xfId="0" applyFont="1" applyFill="1" applyBorder="1" applyAlignment="1">
      <alignment horizontal="left" vertical="center" wrapText="1"/>
    </xf>
    <xf numFmtId="0" fontId="11" fillId="2" borderId="0" xfId="0" applyFont="1" applyFill="1" applyAlignment="1">
      <alignment horizontal="center"/>
    </xf>
  </cellXfs>
  <cellStyles count="5">
    <cellStyle name="Currency" xfId="1" builtinId="4"/>
    <cellStyle name="Normal" xfId="0" builtinId="0"/>
    <cellStyle name="Normal 2" xfId="2" xr:uid="{00000000-0005-0000-0000-000002000000}"/>
    <cellStyle name="Percent 2" xfId="3" xr:uid="{00000000-0005-0000-0000-000003000000}"/>
    <cellStyle name="Percent 2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 Id="rId6" Target="../customXml/item1.xml" Type="http://schemas.openxmlformats.org/officeDocument/2006/relationships/customXml"/>
<Relationship Id="rId7" Target="../customXml/item2.xml" Type="http://schemas.openxmlformats.org/officeDocument/2006/relationships/customXml"/>
<Relationship Id="rId8" Target="../customXml/item3.xml" Type="http://schemas.openxmlformats.org/officeDocument/2006/relationships/custom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EG216"/>
  <sheetViews>
    <sheetView tabSelected="1" view="pageBreakPreview" zoomScale="70" zoomScaleNormal="70" zoomScaleSheetLayoutView="70" workbookViewId="0">
      <pane ySplit="645"/>
      <selection pane="bottomLeft"/>
    </sheetView>
  </sheetViews>
  <sheetFormatPr defaultRowHeight="15" x14ac:dyDescent="0.25"/>
  <cols>
    <col min="1" max="1" width="15.28515625" style="8" customWidth="1"/>
    <col min="2" max="2" width="20.28515625" style="7" customWidth="1"/>
    <col min="3" max="3" width="25.7109375" style="2" customWidth="1"/>
    <col min="4" max="4" width="44.42578125" style="6" customWidth="1"/>
    <col min="5" max="5" width="46.7109375" style="5" hidden="1" customWidth="1"/>
    <col min="6" max="6" width="13.42578125" style="2" customWidth="1"/>
    <col min="7" max="7" width="13.85546875" style="2" customWidth="1"/>
    <col min="8" max="8" width="9.5703125" style="2" customWidth="1"/>
    <col min="9" max="9" width="10.140625" style="2" customWidth="1"/>
    <col min="10" max="10" width="8.140625" style="2" customWidth="1"/>
    <col min="11" max="11" width="10.140625" style="2" customWidth="1"/>
    <col min="12" max="12" width="8.140625" style="2" customWidth="1"/>
    <col min="13" max="13" width="10.140625" style="2" customWidth="1"/>
    <col min="14" max="14" width="8.7109375" style="2" customWidth="1"/>
    <col min="15" max="15" width="10.140625" style="2" customWidth="1"/>
    <col min="16" max="16" width="11" style="2" customWidth="1"/>
    <col min="17" max="17" width="10.140625" style="2" customWidth="1"/>
    <col min="18" max="18" width="8.140625" style="2" customWidth="1"/>
    <col min="19" max="19" width="10.140625" style="2" customWidth="1"/>
    <col min="20" max="20" width="8.140625" style="2" customWidth="1"/>
    <col min="21" max="21" width="10.140625" style="2" customWidth="1"/>
    <col min="22" max="22" width="8.140625" style="2" customWidth="1"/>
    <col min="23" max="23" width="10.140625" style="2" customWidth="1"/>
    <col min="24" max="24" width="8.140625" style="2" customWidth="1"/>
    <col min="25" max="25" width="9.5703125" style="2" customWidth="1"/>
    <col min="26" max="26" width="8.140625" style="2" customWidth="1"/>
    <col min="27" max="27" width="10.140625" style="2" customWidth="1"/>
    <col min="28" max="28" width="8.140625" style="2" customWidth="1"/>
    <col min="29" max="29" width="10.140625" style="2" customWidth="1"/>
    <col min="30" max="30" width="8.140625" style="2" customWidth="1"/>
    <col min="31" max="31" width="9.85546875" style="2" customWidth="1"/>
    <col min="32" max="32" width="15" style="2" customWidth="1"/>
    <col min="33" max="33" width="15.42578125" style="4" customWidth="1"/>
    <col min="34" max="34" width="12.5703125" style="4" customWidth="1"/>
    <col min="35" max="35" width="9.140625" style="2" bestFit="1" customWidth="1"/>
    <col min="36" max="36" width="14.28515625" style="3" customWidth="1"/>
    <col min="37" max="37" width="11.28515625" style="3" bestFit="1" customWidth="1"/>
    <col min="38" max="38" width="14.28515625" style="3" customWidth="1"/>
    <col min="39" max="39" width="14.5703125" style="2" customWidth="1"/>
    <col min="40" max="40" width="10.5703125" style="1" bestFit="1" customWidth="1"/>
    <col min="41" max="16384" width="9.140625" style="1"/>
  </cols>
  <sheetData>
    <row r="1" spans="1:813" ht="15.75" thickBot="1" x14ac:dyDescent="0.3">
      <c r="A1" s="238" t="s">
        <v>617</v>
      </c>
      <c r="C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I1" s="167"/>
      <c r="AM1" s="167"/>
    </row>
    <row r="2" spans="1:813" ht="15.75" thickBot="1" x14ac:dyDescent="0.3">
      <c r="A2" s="193"/>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1:813" ht="43.5" customHeight="1" thickBot="1" x14ac:dyDescent="0.3">
      <c r="A3" s="195" t="s">
        <v>616</v>
      </c>
      <c r="B3" s="195" t="s">
        <v>615</v>
      </c>
      <c r="C3" s="195" t="s">
        <v>614</v>
      </c>
      <c r="D3" s="195" t="s">
        <v>613</v>
      </c>
      <c r="E3" s="195" t="s">
        <v>612</v>
      </c>
      <c r="F3" s="166"/>
      <c r="G3" s="201" t="s">
        <v>611</v>
      </c>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172" t="s">
        <v>610</v>
      </c>
      <c r="AH3" s="173"/>
      <c r="AI3" s="174"/>
      <c r="AJ3" s="198" t="s">
        <v>609</v>
      </c>
      <c r="AK3" s="199"/>
      <c r="AL3" s="198" t="s">
        <v>608</v>
      </c>
      <c r="AM3" s="191" t="s">
        <v>607</v>
      </c>
    </row>
    <row r="4" spans="1:813" ht="43.5" thickBot="1" x14ac:dyDescent="0.3">
      <c r="A4" s="196"/>
      <c r="B4" s="196"/>
      <c r="C4" s="197"/>
      <c r="D4" s="196"/>
      <c r="E4" s="196"/>
      <c r="F4" s="165" t="s">
        <v>606</v>
      </c>
      <c r="G4" s="164" t="s">
        <v>605</v>
      </c>
      <c r="H4" s="164" t="s">
        <v>604</v>
      </c>
      <c r="I4" s="164" t="s">
        <v>603</v>
      </c>
      <c r="J4" s="164" t="s">
        <v>602</v>
      </c>
      <c r="K4" s="164" t="s">
        <v>601</v>
      </c>
      <c r="L4" s="164" t="s">
        <v>600</v>
      </c>
      <c r="M4" s="164" t="s">
        <v>599</v>
      </c>
      <c r="N4" s="164" t="s">
        <v>598</v>
      </c>
      <c r="O4" s="164" t="s">
        <v>597</v>
      </c>
      <c r="P4" s="164" t="s">
        <v>596</v>
      </c>
      <c r="Q4" s="164" t="s">
        <v>595</v>
      </c>
      <c r="R4" s="164" t="s">
        <v>594</v>
      </c>
      <c r="S4" s="164" t="s">
        <v>593</v>
      </c>
      <c r="T4" s="164" t="s">
        <v>592</v>
      </c>
      <c r="U4" s="164" t="s">
        <v>591</v>
      </c>
      <c r="V4" s="164" t="s">
        <v>590</v>
      </c>
      <c r="W4" s="164" t="s">
        <v>589</v>
      </c>
      <c r="X4" s="164" t="s">
        <v>588</v>
      </c>
      <c r="Y4" s="164" t="s">
        <v>587</v>
      </c>
      <c r="Z4" s="164" t="s">
        <v>586</v>
      </c>
      <c r="AA4" s="164" t="s">
        <v>585</v>
      </c>
      <c r="AB4" s="164" t="s">
        <v>584</v>
      </c>
      <c r="AC4" s="164" t="s">
        <v>583</v>
      </c>
      <c r="AD4" s="164" t="s">
        <v>582</v>
      </c>
      <c r="AE4" s="164" t="s">
        <v>581</v>
      </c>
      <c r="AF4" s="164" t="s">
        <v>580</v>
      </c>
      <c r="AG4" s="163" t="s">
        <v>579</v>
      </c>
      <c r="AH4" s="163" t="s">
        <v>578</v>
      </c>
      <c r="AI4" s="162" t="s">
        <v>577</v>
      </c>
      <c r="AJ4" s="161" t="s">
        <v>576</v>
      </c>
      <c r="AK4" s="161" t="s">
        <v>575</v>
      </c>
      <c r="AL4" s="200"/>
      <c r="AM4" s="192"/>
    </row>
    <row r="5" spans="1:813" s="65" customFormat="1" ht="49.5" customHeight="1" thickBot="1" x14ac:dyDescent="0.3">
      <c r="A5" s="186" t="s">
        <v>574</v>
      </c>
      <c r="B5" s="187"/>
      <c r="C5" s="187"/>
      <c r="D5" s="188"/>
      <c r="E5" s="160" t="s">
        <v>573</v>
      </c>
      <c r="F5" s="159"/>
      <c r="G5" s="158"/>
      <c r="H5" s="157">
        <f>SUM(H6:H56)</f>
        <v>329</v>
      </c>
      <c r="I5" s="157"/>
      <c r="J5" s="157">
        <f>SUM(J6:J56)</f>
        <v>2235</v>
      </c>
      <c r="K5" s="157"/>
      <c r="L5" s="157">
        <f>SUM(L6:L56)</f>
        <v>2375</v>
      </c>
      <c r="M5" s="157"/>
      <c r="N5" s="157">
        <f>SUM(N6:N56)</f>
        <v>4885</v>
      </c>
      <c r="O5" s="157"/>
      <c r="P5" s="157">
        <f>SUM(P6:P56)</f>
        <v>1945</v>
      </c>
      <c r="Q5" s="157"/>
      <c r="R5" s="157">
        <f>SUM(R6:R56)</f>
        <v>1530</v>
      </c>
      <c r="S5" s="157"/>
      <c r="T5" s="157">
        <f>SUM(T6:T56)</f>
        <v>3080</v>
      </c>
      <c r="U5" s="157"/>
      <c r="V5" s="157">
        <f>SUM(V6:V56)</f>
        <v>2085</v>
      </c>
      <c r="W5" s="157"/>
      <c r="X5" s="157">
        <f>SUM(X6:X56)</f>
        <v>535</v>
      </c>
      <c r="Y5" s="157"/>
      <c r="Z5" s="157">
        <f>SUM(Z6:Z56)</f>
        <v>655</v>
      </c>
      <c r="AA5" s="157"/>
      <c r="AB5" s="157">
        <f>SUM(AB6:AB56)</f>
        <v>1835</v>
      </c>
      <c r="AC5" s="157"/>
      <c r="AD5" s="157">
        <f>SUM(AD6:AD56)</f>
        <v>805</v>
      </c>
      <c r="AE5" s="157">
        <f>SUM(AE6:AE56)</f>
        <v>0</v>
      </c>
      <c r="AF5" s="156">
        <f>SUM(AF6:AF56)</f>
        <v>22294</v>
      </c>
      <c r="AG5" s="156"/>
      <c r="AH5" s="156"/>
      <c r="AI5" s="156">
        <f>SUM(AI6:AI56)</f>
        <v>25682</v>
      </c>
      <c r="AJ5" s="156">
        <f>SUM(AJ6:AJ56)</f>
        <v>3233731.3206513277</v>
      </c>
      <c r="AK5" s="156">
        <f>SUM(AK6:AK56)</f>
        <v>263409.29220876866</v>
      </c>
      <c r="AL5" s="156">
        <f>SUM(AL6:AL56)</f>
        <v>3497140.6128600966</v>
      </c>
      <c r="AM5" s="155"/>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row>
    <row r="6" spans="1:813" s="65" customFormat="1" ht="75" x14ac:dyDescent="0.25">
      <c r="A6" s="202">
        <v>1</v>
      </c>
      <c r="B6" s="203" t="s">
        <v>572</v>
      </c>
      <c r="C6" s="94" t="s">
        <v>571</v>
      </c>
      <c r="D6" s="64" t="s">
        <v>570</v>
      </c>
      <c r="E6" s="154" t="s">
        <v>569</v>
      </c>
      <c r="F6" s="153"/>
      <c r="G6" s="33"/>
      <c r="H6" s="33"/>
      <c r="I6" s="33"/>
      <c r="J6" s="33">
        <v>460</v>
      </c>
      <c r="K6" s="33"/>
      <c r="L6" s="33">
        <v>970</v>
      </c>
      <c r="M6" s="33"/>
      <c r="N6" s="33">
        <v>1505</v>
      </c>
      <c r="O6" s="33"/>
      <c r="P6" s="33">
        <v>675</v>
      </c>
      <c r="Q6" s="33"/>
      <c r="R6" s="33">
        <v>940</v>
      </c>
      <c r="S6" s="33"/>
      <c r="T6" s="33">
        <v>2105</v>
      </c>
      <c r="U6" s="33"/>
      <c r="V6" s="33">
        <v>1340</v>
      </c>
      <c r="W6" s="33"/>
      <c r="X6" s="33">
        <v>190</v>
      </c>
      <c r="Y6" s="33"/>
      <c r="Z6" s="33">
        <v>435</v>
      </c>
      <c r="AA6" s="33"/>
      <c r="AB6" s="33">
        <v>1070</v>
      </c>
      <c r="AC6" s="33"/>
      <c r="AD6" s="33">
        <v>295</v>
      </c>
      <c r="AE6" s="33"/>
      <c r="AF6" s="33">
        <f t="shared" ref="AF6:AF37" si="0">SUM(G6:AD6)</f>
        <v>9985</v>
      </c>
      <c r="AG6" s="33"/>
      <c r="AH6" s="33"/>
      <c r="AI6" s="33">
        <v>0</v>
      </c>
      <c r="AJ6" s="46">
        <v>559104.3153032338</v>
      </c>
      <c r="AK6" s="46">
        <v>45542.828813381348</v>
      </c>
      <c r="AL6" s="46">
        <v>604647.14411661518</v>
      </c>
      <c r="AM6" s="45" t="s">
        <v>18</v>
      </c>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row>
    <row r="7" spans="1:813" s="65" customFormat="1" ht="45" x14ac:dyDescent="0.25">
      <c r="A7" s="181"/>
      <c r="B7" s="180"/>
      <c r="C7" s="148" t="s">
        <v>568</v>
      </c>
      <c r="D7" s="74" t="s">
        <v>567</v>
      </c>
      <c r="E7" s="139" t="s">
        <v>566</v>
      </c>
      <c r="F7" s="138"/>
      <c r="G7" s="32"/>
      <c r="H7" s="32"/>
      <c r="I7" s="32"/>
      <c r="J7" s="32"/>
      <c r="K7" s="32"/>
      <c r="L7" s="32"/>
      <c r="M7" s="32"/>
      <c r="N7" s="32"/>
      <c r="O7" s="32"/>
      <c r="P7" s="32"/>
      <c r="Q7" s="32"/>
      <c r="R7" s="32"/>
      <c r="S7" s="32"/>
      <c r="T7" s="32"/>
      <c r="U7" s="32"/>
      <c r="V7" s="32"/>
      <c r="W7" s="32"/>
      <c r="X7" s="32"/>
      <c r="Y7" s="32"/>
      <c r="Z7" s="32"/>
      <c r="AA7" s="32"/>
      <c r="AB7" s="32"/>
      <c r="AC7" s="32"/>
      <c r="AD7" s="32"/>
      <c r="AE7" s="32"/>
      <c r="AF7" s="32">
        <f t="shared" si="0"/>
        <v>0</v>
      </c>
      <c r="AG7" s="32"/>
      <c r="AH7" s="32"/>
      <c r="AI7" s="32">
        <v>125</v>
      </c>
      <c r="AJ7" s="31">
        <v>9637.958350872339</v>
      </c>
      <c r="AK7" s="31">
        <v>785.0769083157877</v>
      </c>
      <c r="AL7" s="31">
        <v>10423.035259188127</v>
      </c>
      <c r="AM7" s="30" t="s">
        <v>18</v>
      </c>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row>
    <row r="8" spans="1:813" s="65" customFormat="1" ht="30" x14ac:dyDescent="0.25">
      <c r="A8" s="181"/>
      <c r="B8" s="180"/>
      <c r="C8" s="148" t="s">
        <v>565</v>
      </c>
      <c r="D8" s="74" t="s">
        <v>564</v>
      </c>
      <c r="E8" s="139" t="s">
        <v>563</v>
      </c>
      <c r="F8" s="138"/>
      <c r="G8" s="32"/>
      <c r="H8" s="32"/>
      <c r="I8" s="32"/>
      <c r="J8" s="32"/>
      <c r="K8" s="32"/>
      <c r="L8" s="32"/>
      <c r="M8" s="32"/>
      <c r="N8" s="32"/>
      <c r="O8" s="32"/>
      <c r="P8" s="32"/>
      <c r="Q8" s="32"/>
      <c r="R8" s="32"/>
      <c r="S8" s="32"/>
      <c r="T8" s="32"/>
      <c r="U8" s="32"/>
      <c r="V8" s="32"/>
      <c r="W8" s="32"/>
      <c r="X8" s="32"/>
      <c r="Y8" s="32"/>
      <c r="Z8" s="32"/>
      <c r="AA8" s="32"/>
      <c r="AB8" s="32"/>
      <c r="AC8" s="32"/>
      <c r="AD8" s="32"/>
      <c r="AE8" s="32"/>
      <c r="AF8" s="32">
        <f t="shared" si="0"/>
        <v>0</v>
      </c>
      <c r="AG8" s="32"/>
      <c r="AH8" s="32"/>
      <c r="AI8" s="32">
        <v>2585</v>
      </c>
      <c r="AJ8" s="31">
        <v>199312.97869603997</v>
      </c>
      <c r="AK8" s="31">
        <v>16235.390463970489</v>
      </c>
      <c r="AL8" s="31">
        <v>215548.36916001045</v>
      </c>
      <c r="AM8" s="30" t="s">
        <v>18</v>
      </c>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row>
    <row r="9" spans="1:813" s="65" customFormat="1" ht="45" x14ac:dyDescent="0.25">
      <c r="A9" s="181"/>
      <c r="B9" s="180"/>
      <c r="C9" s="148" t="s">
        <v>562</v>
      </c>
      <c r="D9" s="74" t="s">
        <v>561</v>
      </c>
      <c r="E9" s="139" t="s">
        <v>560</v>
      </c>
      <c r="F9" s="138"/>
      <c r="G9" s="32"/>
      <c r="H9" s="32"/>
      <c r="I9" s="32"/>
      <c r="J9" s="32"/>
      <c r="K9" s="32"/>
      <c r="L9" s="32"/>
      <c r="M9" s="32"/>
      <c r="N9" s="32"/>
      <c r="O9" s="32"/>
      <c r="P9" s="32"/>
      <c r="Q9" s="32"/>
      <c r="R9" s="32"/>
      <c r="S9" s="32"/>
      <c r="T9" s="32"/>
      <c r="U9" s="32"/>
      <c r="V9" s="32"/>
      <c r="W9" s="32"/>
      <c r="X9" s="32"/>
      <c r="Y9" s="32"/>
      <c r="Z9" s="32"/>
      <c r="AA9" s="32"/>
      <c r="AB9" s="32"/>
      <c r="AC9" s="32"/>
      <c r="AD9" s="32"/>
      <c r="AE9" s="32"/>
      <c r="AF9" s="32">
        <f t="shared" si="0"/>
        <v>0</v>
      </c>
      <c r="AG9" s="32"/>
      <c r="AH9" s="32"/>
      <c r="AI9" s="32">
        <v>665</v>
      </c>
      <c r="AJ9" s="31">
        <v>51273.938426640838</v>
      </c>
      <c r="AK9" s="31">
        <v>4176.6091522399902</v>
      </c>
      <c r="AL9" s="31">
        <v>55450.547578880825</v>
      </c>
      <c r="AM9" s="30" t="s">
        <v>18</v>
      </c>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row>
    <row r="10" spans="1:813" s="65" customFormat="1" ht="45" x14ac:dyDescent="0.25">
      <c r="A10" s="181"/>
      <c r="B10" s="180"/>
      <c r="C10" s="148" t="s">
        <v>559</v>
      </c>
      <c r="D10" s="74" t="s">
        <v>558</v>
      </c>
      <c r="E10" s="139" t="s">
        <v>557</v>
      </c>
      <c r="F10" s="138"/>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f t="shared" si="0"/>
        <v>0</v>
      </c>
      <c r="AG10" s="32"/>
      <c r="AH10" s="32"/>
      <c r="AI10" s="32">
        <v>1245</v>
      </c>
      <c r="AJ10" s="31">
        <v>95994.065174688483</v>
      </c>
      <c r="AK10" s="31">
        <v>7819.3660068252448</v>
      </c>
      <c r="AL10" s="31">
        <v>103813.43118151373</v>
      </c>
      <c r="AM10" s="30" t="s">
        <v>18</v>
      </c>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row>
    <row r="11" spans="1:813" s="65" customFormat="1" ht="45" x14ac:dyDescent="0.25">
      <c r="A11" s="181"/>
      <c r="B11" s="180"/>
      <c r="C11" s="148" t="s">
        <v>556</v>
      </c>
      <c r="D11" s="74" t="s">
        <v>555</v>
      </c>
      <c r="E11" s="139" t="s">
        <v>554</v>
      </c>
      <c r="F11" s="138"/>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f t="shared" si="0"/>
        <v>0</v>
      </c>
      <c r="AG11" s="32"/>
      <c r="AH11" s="32"/>
      <c r="AI11" s="32">
        <v>190</v>
      </c>
      <c r="AJ11" s="31">
        <v>14649.696693325952</v>
      </c>
      <c r="AK11" s="31">
        <v>1193.3169006399971</v>
      </c>
      <c r="AL11" s="31">
        <v>15843.013593965949</v>
      </c>
      <c r="AM11" s="30" t="s">
        <v>18</v>
      </c>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row>
    <row r="12" spans="1:813" s="65" customFormat="1" ht="45" x14ac:dyDescent="0.25">
      <c r="A12" s="181">
        <v>2</v>
      </c>
      <c r="B12" s="180" t="s">
        <v>553</v>
      </c>
      <c r="C12" s="148" t="s">
        <v>552</v>
      </c>
      <c r="D12" s="148" t="s">
        <v>551</v>
      </c>
      <c r="E12" s="151" t="s">
        <v>550</v>
      </c>
      <c r="F12" s="148"/>
      <c r="G12" s="152"/>
      <c r="H12" s="152"/>
      <c r="I12" s="32"/>
      <c r="J12" s="152"/>
      <c r="K12" s="32"/>
      <c r="L12" s="152"/>
      <c r="M12" s="32"/>
      <c r="N12" s="152"/>
      <c r="O12" s="32"/>
      <c r="P12" s="152"/>
      <c r="Q12" s="32"/>
      <c r="R12" s="152"/>
      <c r="S12" s="32"/>
      <c r="T12" s="152"/>
      <c r="U12" s="32"/>
      <c r="V12" s="152"/>
      <c r="W12" s="32"/>
      <c r="X12" s="152"/>
      <c r="Y12" s="32"/>
      <c r="Z12" s="152"/>
      <c r="AA12" s="32"/>
      <c r="AB12" s="152"/>
      <c r="AC12" s="32"/>
      <c r="AD12" s="152"/>
      <c r="AE12" s="152"/>
      <c r="AF12" s="175">
        <f t="shared" si="0"/>
        <v>0</v>
      </c>
      <c r="AG12" s="32"/>
      <c r="AH12" s="32"/>
      <c r="AI12" s="175">
        <v>500</v>
      </c>
      <c r="AJ12" s="214">
        <v>38551.833403489356</v>
      </c>
      <c r="AK12" s="214">
        <v>3140.3076332631508</v>
      </c>
      <c r="AL12" s="214">
        <v>41692.14103675251</v>
      </c>
      <c r="AM12" s="213" t="s">
        <v>18</v>
      </c>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row>
    <row r="13" spans="1:813" s="65" customFormat="1" ht="150" customHeight="1" x14ac:dyDescent="0.25">
      <c r="A13" s="181"/>
      <c r="B13" s="180"/>
      <c r="C13" s="148" t="s">
        <v>549</v>
      </c>
      <c r="D13" s="148" t="s">
        <v>548</v>
      </c>
      <c r="E13" s="151" t="s">
        <v>547</v>
      </c>
      <c r="F13" s="148"/>
      <c r="G13" s="152"/>
      <c r="H13" s="152"/>
      <c r="I13" s="32"/>
      <c r="J13" s="152"/>
      <c r="K13" s="32"/>
      <c r="L13" s="152"/>
      <c r="M13" s="32"/>
      <c r="N13" s="152"/>
      <c r="O13" s="32"/>
      <c r="P13" s="152"/>
      <c r="Q13" s="32"/>
      <c r="R13" s="152"/>
      <c r="S13" s="32"/>
      <c r="T13" s="152"/>
      <c r="U13" s="32"/>
      <c r="V13" s="152"/>
      <c r="W13" s="32"/>
      <c r="X13" s="152"/>
      <c r="Y13" s="32"/>
      <c r="Z13" s="152"/>
      <c r="AA13" s="32"/>
      <c r="AB13" s="152"/>
      <c r="AC13" s="32"/>
      <c r="AD13" s="152"/>
      <c r="AE13" s="152"/>
      <c r="AF13" s="175">
        <f t="shared" si="0"/>
        <v>0</v>
      </c>
      <c r="AG13" s="32"/>
      <c r="AH13" s="32"/>
      <c r="AI13" s="175"/>
      <c r="AJ13" s="214"/>
      <c r="AK13" s="214"/>
      <c r="AL13" s="214"/>
      <c r="AM13" s="213"/>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row>
    <row r="14" spans="1:813" s="65" customFormat="1" ht="30" x14ac:dyDescent="0.25">
      <c r="A14" s="181">
        <v>3</v>
      </c>
      <c r="B14" s="183" t="s">
        <v>546</v>
      </c>
      <c r="C14" s="148" t="s">
        <v>545</v>
      </c>
      <c r="D14" s="63" t="s">
        <v>544</v>
      </c>
      <c r="E14" s="139" t="s">
        <v>543</v>
      </c>
      <c r="F14" s="138"/>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f t="shared" si="0"/>
        <v>0</v>
      </c>
      <c r="AG14" s="32"/>
      <c r="AH14" s="32"/>
      <c r="AI14" s="32">
        <v>830</v>
      </c>
      <c r="AJ14" s="31">
        <v>63996.04344979232</v>
      </c>
      <c r="AK14" s="31">
        <v>5212.9106712168295</v>
      </c>
      <c r="AL14" s="31">
        <v>69208.954121009156</v>
      </c>
      <c r="AM14" s="30" t="s">
        <v>18</v>
      </c>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row>
    <row r="15" spans="1:813" s="65" customFormat="1" ht="30" x14ac:dyDescent="0.25">
      <c r="A15" s="181"/>
      <c r="B15" s="183"/>
      <c r="C15" s="148" t="s">
        <v>542</v>
      </c>
      <c r="D15" s="63" t="s">
        <v>541</v>
      </c>
      <c r="E15" s="139" t="s">
        <v>540</v>
      </c>
      <c r="F15" s="138"/>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f t="shared" si="0"/>
        <v>0</v>
      </c>
      <c r="AG15" s="32"/>
      <c r="AH15" s="32"/>
      <c r="AI15" s="32">
        <v>670</v>
      </c>
      <c r="AJ15" s="31">
        <v>51659.456760675726</v>
      </c>
      <c r="AK15" s="31">
        <v>4208.0122285726211</v>
      </c>
      <c r="AL15" s="31">
        <v>55867.468989248344</v>
      </c>
      <c r="AM15" s="30" t="s">
        <v>18</v>
      </c>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row>
    <row r="16" spans="1:813" s="65" customFormat="1" ht="45" x14ac:dyDescent="0.25">
      <c r="A16" s="181"/>
      <c r="B16" s="183"/>
      <c r="C16" s="148" t="s">
        <v>539</v>
      </c>
      <c r="D16" s="63" t="s">
        <v>538</v>
      </c>
      <c r="E16" s="139" t="s">
        <v>537</v>
      </c>
      <c r="F16" s="138"/>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f t="shared" si="0"/>
        <v>0</v>
      </c>
      <c r="AG16" s="32"/>
      <c r="AH16" s="32"/>
      <c r="AI16" s="32">
        <v>705</v>
      </c>
      <c r="AJ16" s="31">
        <v>54358.08509891999</v>
      </c>
      <c r="AK16" s="31">
        <v>4427.8337629010421</v>
      </c>
      <c r="AL16" s="31">
        <v>58785.918861821032</v>
      </c>
      <c r="AM16" s="30" t="s">
        <v>18</v>
      </c>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row>
    <row r="17" spans="1:813" s="65" customFormat="1" ht="30" x14ac:dyDescent="0.25">
      <c r="A17" s="181"/>
      <c r="B17" s="183"/>
      <c r="C17" s="148" t="s">
        <v>536</v>
      </c>
      <c r="D17" s="63" t="s">
        <v>535</v>
      </c>
      <c r="E17" s="139" t="s">
        <v>534</v>
      </c>
      <c r="F17" s="138"/>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f t="shared" si="0"/>
        <v>0</v>
      </c>
      <c r="AG17" s="32"/>
      <c r="AH17" s="32"/>
      <c r="AI17" s="32">
        <v>395</v>
      </c>
      <c r="AJ17" s="31">
        <v>30455.948388756584</v>
      </c>
      <c r="AK17" s="31">
        <v>2480.8430302778884</v>
      </c>
      <c r="AL17" s="31">
        <v>32936.791419034475</v>
      </c>
      <c r="AM17" s="30" t="s">
        <v>18</v>
      </c>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row>
    <row r="18" spans="1:813" s="65" customFormat="1" ht="30" x14ac:dyDescent="0.25">
      <c r="A18" s="181"/>
      <c r="B18" s="183"/>
      <c r="C18" s="148" t="s">
        <v>533</v>
      </c>
      <c r="D18" s="63" t="s">
        <v>532</v>
      </c>
      <c r="E18" s="139" t="s">
        <v>531</v>
      </c>
      <c r="F18" s="138"/>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f t="shared" si="0"/>
        <v>0</v>
      </c>
      <c r="AG18" s="32"/>
      <c r="AH18" s="32"/>
      <c r="AI18" s="32">
        <v>130</v>
      </c>
      <c r="AJ18" s="31">
        <v>10023.476684907231</v>
      </c>
      <c r="AK18" s="31">
        <v>816.47998464841919</v>
      </c>
      <c r="AL18" s="31">
        <v>10839.95666955565</v>
      </c>
      <c r="AM18" s="30" t="s">
        <v>18</v>
      </c>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row>
    <row r="19" spans="1:813" s="65" customFormat="1" ht="30" x14ac:dyDescent="0.25">
      <c r="A19" s="179">
        <v>4</v>
      </c>
      <c r="B19" s="183" t="s">
        <v>530</v>
      </c>
      <c r="C19" s="37" t="s">
        <v>529</v>
      </c>
      <c r="D19" s="74" t="s">
        <v>528</v>
      </c>
      <c r="E19" s="151" t="s">
        <v>527</v>
      </c>
      <c r="F19" s="148"/>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f t="shared" si="0"/>
        <v>0</v>
      </c>
      <c r="AG19" s="32"/>
      <c r="AH19" s="32"/>
      <c r="AI19" s="32">
        <v>135</v>
      </c>
      <c r="AJ19" s="31">
        <v>10408.995018942125</v>
      </c>
      <c r="AK19" s="31">
        <v>847.88306098105068</v>
      </c>
      <c r="AL19" s="31">
        <v>11256.878079923175</v>
      </c>
      <c r="AM19" s="30" t="s">
        <v>18</v>
      </c>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row>
    <row r="20" spans="1:813" s="65" customFormat="1" x14ac:dyDescent="0.25">
      <c r="A20" s="179"/>
      <c r="B20" s="183"/>
      <c r="C20" s="37" t="s">
        <v>526</v>
      </c>
      <c r="D20" s="74" t="s">
        <v>525</v>
      </c>
      <c r="E20" s="151" t="s">
        <v>524</v>
      </c>
      <c r="F20" s="148"/>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f t="shared" si="0"/>
        <v>0</v>
      </c>
      <c r="AG20" s="32"/>
      <c r="AH20" s="32"/>
      <c r="AI20" s="32">
        <v>135</v>
      </c>
      <c r="AJ20" s="31">
        <v>10408.995018942125</v>
      </c>
      <c r="AK20" s="31">
        <v>847.88306098105068</v>
      </c>
      <c r="AL20" s="31">
        <v>11256.878079923175</v>
      </c>
      <c r="AM20" s="30" t="s">
        <v>18</v>
      </c>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row>
    <row r="21" spans="1:813" s="65" customFormat="1" ht="30" x14ac:dyDescent="0.25">
      <c r="A21" s="179"/>
      <c r="B21" s="183"/>
      <c r="C21" s="37" t="s">
        <v>523</v>
      </c>
      <c r="D21" s="74" t="s">
        <v>522</v>
      </c>
      <c r="E21" s="151" t="s">
        <v>521</v>
      </c>
      <c r="F21" s="148"/>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f t="shared" si="0"/>
        <v>0</v>
      </c>
      <c r="AG21" s="32"/>
      <c r="AH21" s="32"/>
      <c r="AI21" s="32">
        <v>45</v>
      </c>
      <c r="AJ21" s="31">
        <v>3469.6650063140414</v>
      </c>
      <c r="AK21" s="31">
        <v>282.62768699368354</v>
      </c>
      <c r="AL21" s="31">
        <v>3752.2926933077251</v>
      </c>
      <c r="AM21" s="30" t="s">
        <v>18</v>
      </c>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row>
    <row r="22" spans="1:813" s="65" customFormat="1" ht="30" x14ac:dyDescent="0.25">
      <c r="A22" s="179"/>
      <c r="B22" s="183"/>
      <c r="C22" s="37" t="s">
        <v>520</v>
      </c>
      <c r="D22" s="74" t="s">
        <v>519</v>
      </c>
      <c r="E22" s="151" t="s">
        <v>518</v>
      </c>
      <c r="F22" s="148"/>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f t="shared" si="0"/>
        <v>0</v>
      </c>
      <c r="AG22" s="32"/>
      <c r="AH22" s="32"/>
      <c r="AI22" s="32">
        <v>190</v>
      </c>
      <c r="AJ22" s="31">
        <v>14649.696693325952</v>
      </c>
      <c r="AK22" s="31">
        <v>1193.3169006399971</v>
      </c>
      <c r="AL22" s="31">
        <v>15843.013593965949</v>
      </c>
      <c r="AM22" s="30" t="s">
        <v>18</v>
      </c>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row>
    <row r="23" spans="1:813" s="65" customFormat="1" ht="30" x14ac:dyDescent="0.25">
      <c r="A23" s="179">
        <v>5</v>
      </c>
      <c r="B23" s="183" t="s">
        <v>517</v>
      </c>
      <c r="C23" s="148" t="s">
        <v>516</v>
      </c>
      <c r="D23" s="74" t="s">
        <v>515</v>
      </c>
      <c r="E23" s="139" t="s">
        <v>514</v>
      </c>
      <c r="F23" s="138"/>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f t="shared" si="0"/>
        <v>0</v>
      </c>
      <c r="AG23" s="32"/>
      <c r="AH23" s="32"/>
      <c r="AI23" s="32">
        <v>130</v>
      </c>
      <c r="AJ23" s="31">
        <v>10023.476684907231</v>
      </c>
      <c r="AK23" s="31">
        <v>816.47998464841919</v>
      </c>
      <c r="AL23" s="31">
        <v>10839.95666955565</v>
      </c>
      <c r="AM23" s="30" t="s">
        <v>18</v>
      </c>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row>
    <row r="24" spans="1:813" s="65" customFormat="1" ht="30" x14ac:dyDescent="0.25">
      <c r="A24" s="179"/>
      <c r="B24" s="183"/>
      <c r="C24" s="148" t="s">
        <v>513</v>
      </c>
      <c r="D24" s="74" t="s">
        <v>512</v>
      </c>
      <c r="E24" s="139" t="s">
        <v>511</v>
      </c>
      <c r="F24" s="138"/>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f t="shared" si="0"/>
        <v>0</v>
      </c>
      <c r="AG24" s="32"/>
      <c r="AH24" s="32"/>
      <c r="AI24" s="32">
        <v>220</v>
      </c>
      <c r="AJ24" s="31">
        <v>16962.806697535318</v>
      </c>
      <c r="AK24" s="31">
        <v>1381.7353586357863</v>
      </c>
      <c r="AL24" s="31">
        <v>18344.542056171103</v>
      </c>
      <c r="AM24" s="30" t="s">
        <v>18</v>
      </c>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row>
    <row r="25" spans="1:813" s="65" customFormat="1" ht="45" x14ac:dyDescent="0.25">
      <c r="A25" s="179"/>
      <c r="B25" s="183"/>
      <c r="C25" s="148" t="s">
        <v>510</v>
      </c>
      <c r="D25" s="74" t="s">
        <v>509</v>
      </c>
      <c r="E25" s="139" t="s">
        <v>508</v>
      </c>
      <c r="F25" s="138"/>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f t="shared" si="0"/>
        <v>0</v>
      </c>
      <c r="AG25" s="32"/>
      <c r="AH25" s="32"/>
      <c r="AI25" s="32">
        <v>360</v>
      </c>
      <c r="AJ25" s="31">
        <v>27757.320050512331</v>
      </c>
      <c r="AK25" s="31">
        <v>2261.0214959494683</v>
      </c>
      <c r="AL25" s="31">
        <v>30018.341546461801</v>
      </c>
      <c r="AM25" s="30" t="s">
        <v>18</v>
      </c>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row>
    <row r="26" spans="1:813" s="65" customFormat="1" ht="30" x14ac:dyDescent="0.25">
      <c r="A26" s="179"/>
      <c r="B26" s="183"/>
      <c r="C26" s="148" t="s">
        <v>507</v>
      </c>
      <c r="D26" s="74" t="s">
        <v>506</v>
      </c>
      <c r="E26" s="139" t="s">
        <v>505</v>
      </c>
      <c r="F26" s="138"/>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f t="shared" si="0"/>
        <v>0</v>
      </c>
      <c r="AG26" s="32"/>
      <c r="AH26" s="32"/>
      <c r="AI26" s="32">
        <v>565</v>
      </c>
      <c r="AJ26" s="31">
        <v>43563.571745942965</v>
      </c>
      <c r="AK26" s="31">
        <v>3548.54762558736</v>
      </c>
      <c r="AL26" s="31">
        <v>47112.119371530323</v>
      </c>
      <c r="AM26" s="30" t="s">
        <v>18</v>
      </c>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row>
    <row r="27" spans="1:813" s="65" customFormat="1" ht="30" x14ac:dyDescent="0.25">
      <c r="A27" s="179">
        <v>6</v>
      </c>
      <c r="B27" s="183" t="s">
        <v>504</v>
      </c>
      <c r="C27" s="148" t="s">
        <v>503</v>
      </c>
      <c r="D27" s="63" t="s">
        <v>502</v>
      </c>
      <c r="E27" s="151" t="s">
        <v>501</v>
      </c>
      <c r="F27" s="148"/>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f t="shared" si="0"/>
        <v>0</v>
      </c>
      <c r="AG27" s="32"/>
      <c r="AH27" s="32"/>
      <c r="AI27" s="32">
        <v>545</v>
      </c>
      <c r="AJ27" s="31">
        <v>42021.498409803389</v>
      </c>
      <c r="AK27" s="31">
        <v>3422.9353202568336</v>
      </c>
      <c r="AL27" s="31">
        <v>45444.43373006022</v>
      </c>
      <c r="AM27" s="30" t="s">
        <v>491</v>
      </c>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row>
    <row r="28" spans="1:813" s="65" customFormat="1" ht="30" x14ac:dyDescent="0.25">
      <c r="A28" s="179"/>
      <c r="B28" s="183"/>
      <c r="C28" s="148" t="s">
        <v>500</v>
      </c>
      <c r="D28" s="63" t="s">
        <v>499</v>
      </c>
      <c r="E28" s="151" t="s">
        <v>498</v>
      </c>
      <c r="F28" s="148"/>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f t="shared" si="0"/>
        <v>0</v>
      </c>
      <c r="AG28" s="32"/>
      <c r="AH28" s="32"/>
      <c r="AI28" s="32">
        <v>745</v>
      </c>
      <c r="AJ28" s="31">
        <v>57442.231771199135</v>
      </c>
      <c r="AK28" s="31">
        <v>4679.0583735620939</v>
      </c>
      <c r="AL28" s="31">
        <v>62121.290144761231</v>
      </c>
      <c r="AM28" s="30" t="s">
        <v>491</v>
      </c>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row>
    <row r="29" spans="1:813" s="65" customFormat="1" ht="45" x14ac:dyDescent="0.25">
      <c r="A29" s="179"/>
      <c r="B29" s="183"/>
      <c r="C29" s="148" t="s">
        <v>497</v>
      </c>
      <c r="D29" s="63" t="s">
        <v>496</v>
      </c>
      <c r="E29" s="151" t="s">
        <v>495</v>
      </c>
      <c r="F29" s="148"/>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f t="shared" si="0"/>
        <v>0</v>
      </c>
      <c r="AG29" s="32"/>
      <c r="AH29" s="32"/>
      <c r="AI29" s="32">
        <v>310</v>
      </c>
      <c r="AJ29" s="31">
        <v>23902.136710163399</v>
      </c>
      <c r="AK29" s="31">
        <v>1946.9907326231535</v>
      </c>
      <c r="AL29" s="31">
        <v>25849.127442786554</v>
      </c>
      <c r="AM29" s="30" t="s">
        <v>491</v>
      </c>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row>
    <row r="30" spans="1:813" s="65" customFormat="1" ht="30" x14ac:dyDescent="0.25">
      <c r="A30" s="179"/>
      <c r="B30" s="183"/>
      <c r="C30" s="148" t="s">
        <v>494</v>
      </c>
      <c r="D30" s="63" t="s">
        <v>493</v>
      </c>
      <c r="E30" s="151" t="s">
        <v>492</v>
      </c>
      <c r="F30" s="148"/>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f t="shared" si="0"/>
        <v>0</v>
      </c>
      <c r="AG30" s="32"/>
      <c r="AH30" s="32"/>
      <c r="AI30" s="32">
        <v>150</v>
      </c>
      <c r="AJ30" s="31">
        <v>11565.550021046807</v>
      </c>
      <c r="AK30" s="31">
        <v>942.09228997894525</v>
      </c>
      <c r="AL30" s="31">
        <v>12507.642311025753</v>
      </c>
      <c r="AM30" s="30" t="s">
        <v>491</v>
      </c>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row>
    <row r="31" spans="1:813" s="65" customFormat="1" ht="120" customHeight="1" x14ac:dyDescent="0.25">
      <c r="A31" s="179">
        <v>7</v>
      </c>
      <c r="B31" s="183" t="s">
        <v>490</v>
      </c>
      <c r="C31" s="148" t="s">
        <v>489</v>
      </c>
      <c r="D31" s="63" t="s">
        <v>488</v>
      </c>
      <c r="E31" s="145" t="s">
        <v>487</v>
      </c>
      <c r="F31" s="144"/>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f t="shared" si="0"/>
        <v>0</v>
      </c>
      <c r="AG31" s="32"/>
      <c r="AH31" s="32"/>
      <c r="AI31" s="32">
        <v>200</v>
      </c>
      <c r="AJ31" s="31">
        <v>15420.733361395743</v>
      </c>
      <c r="AK31" s="31">
        <v>1256.1230533052603</v>
      </c>
      <c r="AL31" s="31">
        <v>16676.856414701004</v>
      </c>
      <c r="AM31" s="30" t="s">
        <v>18</v>
      </c>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row>
    <row r="32" spans="1:813" s="65" customFormat="1" ht="105" x14ac:dyDescent="0.25">
      <c r="A32" s="179"/>
      <c r="B32" s="183"/>
      <c r="C32" s="148" t="s">
        <v>486</v>
      </c>
      <c r="D32" s="63" t="s">
        <v>485</v>
      </c>
      <c r="E32" s="145" t="s">
        <v>484</v>
      </c>
      <c r="F32" s="144"/>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f t="shared" si="0"/>
        <v>0</v>
      </c>
      <c r="AG32" s="32"/>
      <c r="AH32" s="32"/>
      <c r="AI32" s="32">
        <v>220</v>
      </c>
      <c r="AJ32" s="31">
        <v>16962.806697535318</v>
      </c>
      <c r="AK32" s="31">
        <v>1381.7353586357863</v>
      </c>
      <c r="AL32" s="31">
        <v>18344.542056171103</v>
      </c>
      <c r="AM32" s="30" t="s">
        <v>18</v>
      </c>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row>
    <row r="33" spans="1:813" s="65" customFormat="1" ht="120" x14ac:dyDescent="0.25">
      <c r="A33" s="179"/>
      <c r="B33" s="183"/>
      <c r="C33" s="148" t="s">
        <v>483</v>
      </c>
      <c r="D33" s="63" t="s">
        <v>482</v>
      </c>
      <c r="E33" s="145" t="s">
        <v>481</v>
      </c>
      <c r="F33" s="144"/>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f t="shared" si="0"/>
        <v>0</v>
      </c>
      <c r="AG33" s="32"/>
      <c r="AH33" s="32"/>
      <c r="AI33" s="32">
        <v>1260</v>
      </c>
      <c r="AJ33" s="31">
        <v>97150.620176793178</v>
      </c>
      <c r="AK33" s="31">
        <v>7913.5752358231393</v>
      </c>
      <c r="AL33" s="31">
        <v>105064.19541261632</v>
      </c>
      <c r="AM33" s="30" t="s">
        <v>18</v>
      </c>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row>
    <row r="34" spans="1:813" s="65" customFormat="1" ht="90" customHeight="1" x14ac:dyDescent="0.25">
      <c r="A34" s="179">
        <v>8</v>
      </c>
      <c r="B34" s="183" t="s">
        <v>480</v>
      </c>
      <c r="C34" s="148" t="s">
        <v>479</v>
      </c>
      <c r="D34" s="63" t="s">
        <v>478</v>
      </c>
      <c r="E34" s="145" t="s">
        <v>477</v>
      </c>
      <c r="F34" s="144"/>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f t="shared" si="0"/>
        <v>0</v>
      </c>
      <c r="AG34" s="32"/>
      <c r="AH34" s="32"/>
      <c r="AI34" s="32">
        <v>2647</v>
      </c>
      <c r="AJ34" s="31">
        <v>204093.40603807263</v>
      </c>
      <c r="AK34" s="31">
        <v>16624.788610495118</v>
      </c>
      <c r="AL34" s="31">
        <v>220718.19464856776</v>
      </c>
      <c r="AM34" s="30" t="s">
        <v>18</v>
      </c>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row>
    <row r="35" spans="1:813" s="65" customFormat="1" ht="90" x14ac:dyDescent="0.25">
      <c r="A35" s="179"/>
      <c r="B35" s="183"/>
      <c r="C35" s="148" t="s">
        <v>476</v>
      </c>
      <c r="D35" s="63" t="s">
        <v>475</v>
      </c>
      <c r="E35" s="145" t="s">
        <v>474</v>
      </c>
      <c r="F35" s="144"/>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f t="shared" si="0"/>
        <v>0</v>
      </c>
      <c r="AG35" s="32"/>
      <c r="AH35" s="32"/>
      <c r="AI35" s="32">
        <v>90</v>
      </c>
      <c r="AJ35" s="31">
        <v>6939.3300126280828</v>
      </c>
      <c r="AK35" s="31">
        <v>565.25537398736708</v>
      </c>
      <c r="AL35" s="31">
        <v>7504.5853866154503</v>
      </c>
      <c r="AM35" s="30" t="s">
        <v>18</v>
      </c>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row>
    <row r="36" spans="1:813" s="65" customFormat="1" ht="90" x14ac:dyDescent="0.25">
      <c r="A36" s="179"/>
      <c r="B36" s="183"/>
      <c r="C36" s="148" t="s">
        <v>473</v>
      </c>
      <c r="D36" s="63" t="s">
        <v>472</v>
      </c>
      <c r="E36" s="143" t="s">
        <v>471</v>
      </c>
      <c r="F36" s="14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f t="shared" si="0"/>
        <v>0</v>
      </c>
      <c r="AG36" s="32"/>
      <c r="AH36" s="32"/>
      <c r="AI36" s="32">
        <v>20</v>
      </c>
      <c r="AJ36" s="31">
        <v>1542.0733361395742</v>
      </c>
      <c r="AK36" s="31">
        <v>125.61230533052603</v>
      </c>
      <c r="AL36" s="31">
        <v>1667.6856414701001</v>
      </c>
      <c r="AM36" s="30" t="s">
        <v>18</v>
      </c>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row>
    <row r="37" spans="1:813" s="65" customFormat="1" ht="105" x14ac:dyDescent="0.25">
      <c r="A37" s="179"/>
      <c r="B37" s="183"/>
      <c r="C37" s="148" t="s">
        <v>470</v>
      </c>
      <c r="D37" s="63" t="s">
        <v>469</v>
      </c>
      <c r="E37" s="150" t="s">
        <v>468</v>
      </c>
      <c r="F37" s="149"/>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f t="shared" si="0"/>
        <v>0</v>
      </c>
      <c r="AG37" s="32"/>
      <c r="AH37" s="32"/>
      <c r="AI37" s="32">
        <v>100</v>
      </c>
      <c r="AJ37" s="31">
        <v>7710.3666806978717</v>
      </c>
      <c r="AK37" s="31">
        <v>628.06152665263016</v>
      </c>
      <c r="AL37" s="31">
        <v>8338.4282073505019</v>
      </c>
      <c r="AM37" s="30" t="s">
        <v>18</v>
      </c>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row>
    <row r="38" spans="1:813" s="65" customFormat="1" x14ac:dyDescent="0.25">
      <c r="A38" s="179"/>
      <c r="B38" s="183"/>
      <c r="C38" s="148" t="s">
        <v>467</v>
      </c>
      <c r="D38" s="63" t="s">
        <v>466</v>
      </c>
      <c r="E38" s="39"/>
      <c r="F38" s="38"/>
      <c r="G38" s="32"/>
      <c r="H38" s="32"/>
      <c r="I38" s="32"/>
      <c r="J38" s="32"/>
      <c r="K38" s="32"/>
      <c r="L38" s="32"/>
      <c r="M38" s="32"/>
      <c r="N38" s="32">
        <v>1220</v>
      </c>
      <c r="O38" s="32"/>
      <c r="P38" s="32"/>
      <c r="Q38" s="32"/>
      <c r="R38" s="32"/>
      <c r="S38" s="32"/>
      <c r="T38" s="32">
        <v>190</v>
      </c>
      <c r="U38" s="32"/>
      <c r="V38" s="32"/>
      <c r="W38" s="32"/>
      <c r="X38" s="32"/>
      <c r="Y38" s="32"/>
      <c r="Z38" s="32"/>
      <c r="AA38" s="32"/>
      <c r="AB38" s="32"/>
      <c r="AC38" s="32"/>
      <c r="AD38" s="32"/>
      <c r="AE38" s="32"/>
      <c r="AF38" s="32">
        <f t="shared" ref="AF38:AF56" si="1">SUM(G38:AD38)</f>
        <v>1410</v>
      </c>
      <c r="AG38" s="32"/>
      <c r="AH38" s="32"/>
      <c r="AI38" s="32"/>
      <c r="AJ38" s="31">
        <v>83547.360150847409</v>
      </c>
      <c r="AK38" s="31">
        <v>6805.497680868918</v>
      </c>
      <c r="AL38" s="31">
        <v>90352.857831716334</v>
      </c>
      <c r="AM38" s="30" t="s">
        <v>18</v>
      </c>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row>
    <row r="39" spans="1:813" s="65" customFormat="1" x14ac:dyDescent="0.25">
      <c r="A39" s="179"/>
      <c r="B39" s="183"/>
      <c r="C39" s="148" t="s">
        <v>465</v>
      </c>
      <c r="D39" s="63" t="s">
        <v>464</v>
      </c>
      <c r="E39" s="39"/>
      <c r="F39" s="38"/>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f t="shared" si="1"/>
        <v>0</v>
      </c>
      <c r="AG39" s="32"/>
      <c r="AH39" s="32"/>
      <c r="AI39" s="32"/>
      <c r="AJ39" s="31">
        <v>0</v>
      </c>
      <c r="AK39" s="31">
        <v>0</v>
      </c>
      <c r="AL39" s="31">
        <v>0</v>
      </c>
      <c r="AM39" s="30" t="s">
        <v>18</v>
      </c>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row>
    <row r="40" spans="1:813" s="65" customFormat="1" ht="30" x14ac:dyDescent="0.25">
      <c r="A40" s="179"/>
      <c r="B40" s="183"/>
      <c r="C40" s="148" t="s">
        <v>463</v>
      </c>
      <c r="D40" s="63" t="s">
        <v>462</v>
      </c>
      <c r="E40" s="39"/>
      <c r="F40" s="38"/>
      <c r="G40" s="32"/>
      <c r="H40" s="32">
        <v>4</v>
      </c>
      <c r="I40" s="32"/>
      <c r="J40" s="32">
        <v>80</v>
      </c>
      <c r="K40" s="32"/>
      <c r="L40" s="32"/>
      <c r="M40" s="32"/>
      <c r="N40" s="32"/>
      <c r="O40" s="32"/>
      <c r="P40" s="32"/>
      <c r="Q40" s="32"/>
      <c r="R40" s="32"/>
      <c r="S40" s="32"/>
      <c r="T40" s="32"/>
      <c r="U40" s="32"/>
      <c r="V40" s="32"/>
      <c r="W40" s="32"/>
      <c r="X40" s="32"/>
      <c r="Y40" s="32"/>
      <c r="Z40" s="32"/>
      <c r="AA40" s="32"/>
      <c r="AB40" s="32"/>
      <c r="AC40" s="32"/>
      <c r="AD40" s="32"/>
      <c r="AE40" s="32"/>
      <c r="AF40" s="32">
        <f t="shared" si="1"/>
        <v>84</v>
      </c>
      <c r="AG40" s="32"/>
      <c r="AH40" s="32"/>
      <c r="AI40" s="32"/>
      <c r="AJ40" s="31">
        <v>4735.4568928473336</v>
      </c>
      <c r="AK40" s="31">
        <v>385.73499921410007</v>
      </c>
      <c r="AL40" s="31">
        <v>5121.1918920614335</v>
      </c>
      <c r="AM40" s="30" t="s">
        <v>18</v>
      </c>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row>
    <row r="41" spans="1:813" s="65" customFormat="1" ht="105" customHeight="1" x14ac:dyDescent="0.25">
      <c r="A41" s="179">
        <v>9</v>
      </c>
      <c r="B41" s="183" t="s">
        <v>461</v>
      </c>
      <c r="C41" s="148" t="s">
        <v>460</v>
      </c>
      <c r="D41" s="38" t="s">
        <v>459</v>
      </c>
      <c r="E41" s="147" t="s">
        <v>458</v>
      </c>
      <c r="F41" s="146"/>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f t="shared" si="1"/>
        <v>0</v>
      </c>
      <c r="AG41" s="32"/>
      <c r="AH41" s="32"/>
      <c r="AI41" s="32">
        <v>1245</v>
      </c>
      <c r="AJ41" s="31">
        <v>95994.065174688483</v>
      </c>
      <c r="AK41" s="31">
        <v>7819.3660068252448</v>
      </c>
      <c r="AL41" s="31">
        <v>103813.43118151373</v>
      </c>
      <c r="AM41" s="30" t="s">
        <v>18</v>
      </c>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row>
    <row r="42" spans="1:813" s="65" customFormat="1" ht="45" x14ac:dyDescent="0.25">
      <c r="A42" s="179"/>
      <c r="B42" s="183"/>
      <c r="C42" s="148" t="s">
        <v>457</v>
      </c>
      <c r="D42" s="38" t="s">
        <v>456</v>
      </c>
      <c r="E42" s="147" t="s">
        <v>455</v>
      </c>
      <c r="F42" s="146"/>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f t="shared" si="1"/>
        <v>0</v>
      </c>
      <c r="AG42" s="32"/>
      <c r="AH42" s="32"/>
      <c r="AI42" s="32">
        <v>1235</v>
      </c>
      <c r="AJ42" s="31">
        <v>95223.028506618706</v>
      </c>
      <c r="AK42" s="31">
        <v>7756.559854159982</v>
      </c>
      <c r="AL42" s="31">
        <v>102979.58836077868</v>
      </c>
      <c r="AM42" s="30" t="s">
        <v>18</v>
      </c>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row>
    <row r="43" spans="1:813" s="65" customFormat="1" ht="45" x14ac:dyDescent="0.25">
      <c r="A43" s="179"/>
      <c r="B43" s="183"/>
      <c r="C43" s="148" t="s">
        <v>454</v>
      </c>
      <c r="D43" s="38" t="s">
        <v>453</v>
      </c>
      <c r="E43" s="147" t="s">
        <v>452</v>
      </c>
      <c r="F43" s="146"/>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f t="shared" si="1"/>
        <v>0</v>
      </c>
      <c r="AG43" s="32"/>
      <c r="AH43" s="32"/>
      <c r="AI43" s="32">
        <v>530</v>
      </c>
      <c r="AJ43" s="31">
        <v>40864.943407698716</v>
      </c>
      <c r="AK43" s="31">
        <v>3328.7260912589395</v>
      </c>
      <c r="AL43" s="31">
        <v>44193.669498957657</v>
      </c>
      <c r="AM43" s="30" t="s">
        <v>18</v>
      </c>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row>
    <row r="44" spans="1:813" s="65" customFormat="1" ht="75" customHeight="1" x14ac:dyDescent="0.25">
      <c r="A44" s="179">
        <v>10</v>
      </c>
      <c r="B44" s="183" t="s">
        <v>451</v>
      </c>
      <c r="C44" s="80" t="s">
        <v>450</v>
      </c>
      <c r="D44" s="38" t="s">
        <v>449</v>
      </c>
      <c r="E44" s="145" t="s">
        <v>448</v>
      </c>
      <c r="F44" s="144"/>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f t="shared" si="1"/>
        <v>0</v>
      </c>
      <c r="AG44" s="32"/>
      <c r="AH44" s="32"/>
      <c r="AI44" s="32">
        <v>155</v>
      </c>
      <c r="AJ44" s="31">
        <v>11951.068355081699</v>
      </c>
      <c r="AK44" s="31">
        <v>973.49536631157673</v>
      </c>
      <c r="AL44" s="31">
        <v>12924.563721393277</v>
      </c>
      <c r="AM44" s="30" t="s">
        <v>18</v>
      </c>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row>
    <row r="45" spans="1:813" s="65" customFormat="1" ht="75" x14ac:dyDescent="0.25">
      <c r="A45" s="179"/>
      <c r="B45" s="183"/>
      <c r="C45" s="80" t="s">
        <v>447</v>
      </c>
      <c r="D45" s="38" t="s">
        <v>446</v>
      </c>
      <c r="E45" s="143" t="s">
        <v>445</v>
      </c>
      <c r="F45" s="14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f t="shared" si="1"/>
        <v>0</v>
      </c>
      <c r="AG45" s="32"/>
      <c r="AH45" s="32"/>
      <c r="AI45" s="32">
        <v>440</v>
      </c>
      <c r="AJ45" s="31">
        <v>33925.613395070635</v>
      </c>
      <c r="AK45" s="31">
        <v>2763.4707172715725</v>
      </c>
      <c r="AL45" s="31">
        <v>36689.084112342207</v>
      </c>
      <c r="AM45" s="30" t="s">
        <v>18</v>
      </c>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row>
    <row r="46" spans="1:813" s="65" customFormat="1" ht="90" x14ac:dyDescent="0.25">
      <c r="A46" s="179"/>
      <c r="B46" s="183"/>
      <c r="C46" s="80" t="s">
        <v>444</v>
      </c>
      <c r="D46" s="38" t="s">
        <v>443</v>
      </c>
      <c r="E46" s="145" t="s">
        <v>442</v>
      </c>
      <c r="F46" s="144"/>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f t="shared" si="1"/>
        <v>0</v>
      </c>
      <c r="AG46" s="32"/>
      <c r="AH46" s="32"/>
      <c r="AI46" s="32">
        <v>1050</v>
      </c>
      <c r="AJ46" s="31">
        <v>80958.850147327641</v>
      </c>
      <c r="AK46" s="31">
        <v>6594.6460298526163</v>
      </c>
      <c r="AL46" s="31">
        <v>87553.496177180263</v>
      </c>
      <c r="AM46" s="30" t="s">
        <v>18</v>
      </c>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row>
    <row r="47" spans="1:813" s="65" customFormat="1" ht="90" customHeight="1" x14ac:dyDescent="0.25">
      <c r="A47" s="179">
        <v>11</v>
      </c>
      <c r="B47" s="183" t="s">
        <v>441</v>
      </c>
      <c r="C47" s="80" t="s">
        <v>440</v>
      </c>
      <c r="D47" s="38" t="s">
        <v>439</v>
      </c>
      <c r="E47" s="145" t="s">
        <v>438</v>
      </c>
      <c r="F47" s="144"/>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f t="shared" si="1"/>
        <v>0</v>
      </c>
      <c r="AG47" s="32"/>
      <c r="AH47" s="32"/>
      <c r="AI47" s="32">
        <v>225</v>
      </c>
      <c r="AJ47" s="31">
        <v>17348.32503157021</v>
      </c>
      <c r="AK47" s="31">
        <v>1413.1384349684179</v>
      </c>
      <c r="AL47" s="31">
        <v>18761.463466538629</v>
      </c>
      <c r="AM47" s="30" t="s">
        <v>18</v>
      </c>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row>
    <row r="48" spans="1:813" s="65" customFormat="1" ht="105" x14ac:dyDescent="0.25">
      <c r="A48" s="179"/>
      <c r="B48" s="183"/>
      <c r="C48" s="80" t="s">
        <v>437</v>
      </c>
      <c r="D48" s="38" t="s">
        <v>436</v>
      </c>
      <c r="E48" s="143" t="s">
        <v>435</v>
      </c>
      <c r="F48" s="14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f t="shared" si="1"/>
        <v>0</v>
      </c>
      <c r="AG48" s="32"/>
      <c r="AH48" s="32"/>
      <c r="AI48" s="32">
        <v>120</v>
      </c>
      <c r="AJ48" s="31">
        <v>9252.440016837445</v>
      </c>
      <c r="AK48" s="31">
        <v>753.67383198315611</v>
      </c>
      <c r="AL48" s="31">
        <v>10006.113848820602</v>
      </c>
      <c r="AM48" s="30" t="s">
        <v>18</v>
      </c>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row>
    <row r="49" spans="1:813" s="65" customFormat="1" ht="135" x14ac:dyDescent="0.25">
      <c r="A49" s="179"/>
      <c r="B49" s="183"/>
      <c r="C49" s="80" t="s">
        <v>434</v>
      </c>
      <c r="D49" s="38" t="s">
        <v>433</v>
      </c>
      <c r="E49" s="143" t="s">
        <v>432</v>
      </c>
      <c r="F49" s="14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f t="shared" si="1"/>
        <v>0</v>
      </c>
      <c r="AG49" s="32"/>
      <c r="AH49" s="32"/>
      <c r="AI49" s="32">
        <v>2105</v>
      </c>
      <c r="AJ49" s="31">
        <v>162303.2186286902</v>
      </c>
      <c r="AK49" s="31">
        <v>13220.695136037864</v>
      </c>
      <c r="AL49" s="31">
        <v>175523.91376472806</v>
      </c>
      <c r="AM49" s="30" t="s">
        <v>18</v>
      </c>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row>
    <row r="50" spans="1:813" s="65" customFormat="1" ht="90" customHeight="1" x14ac:dyDescent="0.25">
      <c r="A50" s="179">
        <v>12</v>
      </c>
      <c r="B50" s="183" t="s">
        <v>431</v>
      </c>
      <c r="C50" s="34" t="s">
        <v>430</v>
      </c>
      <c r="D50" s="38" t="s">
        <v>429</v>
      </c>
      <c r="E50" s="141" t="s">
        <v>428</v>
      </c>
      <c r="F50" s="140"/>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f t="shared" si="1"/>
        <v>0</v>
      </c>
      <c r="AG50" s="32"/>
      <c r="AH50" s="32"/>
      <c r="AI50" s="32">
        <v>40</v>
      </c>
      <c r="AJ50" s="31">
        <v>3084.1466722791483</v>
      </c>
      <c r="AK50" s="31">
        <v>251.22461066105205</v>
      </c>
      <c r="AL50" s="31">
        <v>3335.3712829402002</v>
      </c>
      <c r="AM50" s="30" t="s">
        <v>18</v>
      </c>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row>
    <row r="51" spans="1:813" s="65" customFormat="1" ht="120" x14ac:dyDescent="0.25">
      <c r="A51" s="179"/>
      <c r="B51" s="183"/>
      <c r="C51" s="34" t="s">
        <v>427</v>
      </c>
      <c r="D51" s="38" t="s">
        <v>426</v>
      </c>
      <c r="E51" s="136" t="s">
        <v>425</v>
      </c>
      <c r="F51" s="137"/>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f t="shared" si="1"/>
        <v>0</v>
      </c>
      <c r="AG51" s="32"/>
      <c r="AH51" s="32"/>
      <c r="AI51" s="32">
        <v>815</v>
      </c>
      <c r="AJ51" s="31">
        <v>62839.488447687647</v>
      </c>
      <c r="AK51" s="31">
        <v>5118.7014422189359</v>
      </c>
      <c r="AL51" s="31">
        <v>67958.189889906585</v>
      </c>
      <c r="AM51" s="30" t="s">
        <v>18</v>
      </c>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row>
    <row r="52" spans="1:813" s="65" customFormat="1" ht="90" x14ac:dyDescent="0.25">
      <c r="A52" s="179">
        <v>13</v>
      </c>
      <c r="B52" s="183" t="s">
        <v>424</v>
      </c>
      <c r="C52" s="80" t="s">
        <v>423</v>
      </c>
      <c r="D52" s="63" t="s">
        <v>422</v>
      </c>
      <c r="E52" s="139" t="s">
        <v>421</v>
      </c>
      <c r="F52" s="138"/>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f t="shared" si="1"/>
        <v>0</v>
      </c>
      <c r="AG52" s="32"/>
      <c r="AH52" s="32"/>
      <c r="AI52" s="32">
        <v>275</v>
      </c>
      <c r="AJ52" s="31">
        <v>21203.508371919146</v>
      </c>
      <c r="AK52" s="31">
        <v>1727.169198294733</v>
      </c>
      <c r="AL52" s="31">
        <v>22930.67757021388</v>
      </c>
      <c r="AM52" s="30" t="s">
        <v>18</v>
      </c>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row>
    <row r="53" spans="1:813" s="65" customFormat="1" ht="75" x14ac:dyDescent="0.25">
      <c r="A53" s="179"/>
      <c r="B53" s="183"/>
      <c r="C53" s="80" t="s">
        <v>420</v>
      </c>
      <c r="D53" s="63" t="s">
        <v>419</v>
      </c>
      <c r="E53" s="139" t="s">
        <v>418</v>
      </c>
      <c r="F53" s="138"/>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f t="shared" si="1"/>
        <v>0</v>
      </c>
      <c r="AG53" s="32"/>
      <c r="AH53" s="32"/>
      <c r="AI53" s="32">
        <v>985</v>
      </c>
      <c r="AJ53" s="31">
        <v>75947.111804874017</v>
      </c>
      <c r="AK53" s="31">
        <v>6186.4060375284062</v>
      </c>
      <c r="AL53" s="31">
        <v>82133.51784240242</v>
      </c>
      <c r="AM53" s="30" t="s">
        <v>18</v>
      </c>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row>
    <row r="54" spans="1:813" s="65" customFormat="1" ht="60" x14ac:dyDescent="0.25">
      <c r="A54" s="179"/>
      <c r="B54" s="183"/>
      <c r="C54" s="80" t="s">
        <v>417</v>
      </c>
      <c r="D54" s="63" t="s">
        <v>416</v>
      </c>
      <c r="E54" s="139" t="s">
        <v>415</v>
      </c>
      <c r="F54" s="138"/>
      <c r="G54" s="32"/>
      <c r="H54" s="32"/>
      <c r="I54" s="32"/>
      <c r="J54" s="32"/>
      <c r="K54" s="32"/>
      <c r="L54" s="32"/>
      <c r="M54" s="32"/>
      <c r="N54" s="32"/>
      <c r="O54" s="32"/>
      <c r="P54" s="32"/>
      <c r="Q54" s="32"/>
      <c r="R54" s="32"/>
      <c r="S54" s="32"/>
      <c r="T54" s="32"/>
      <c r="U54" s="32"/>
      <c r="V54" s="32"/>
      <c r="W54" s="32"/>
      <c r="X54" s="32"/>
      <c r="Y54" s="32"/>
      <c r="Z54" s="32"/>
      <c r="AA54" s="32"/>
      <c r="AB54" s="32"/>
      <c r="AC54" s="58"/>
      <c r="AD54" s="58"/>
      <c r="AE54" s="58"/>
      <c r="AF54" s="32">
        <f t="shared" si="1"/>
        <v>0</v>
      </c>
      <c r="AG54" s="32"/>
      <c r="AH54" s="32"/>
      <c r="AI54" s="32">
        <v>355</v>
      </c>
      <c r="AJ54" s="31">
        <v>27371.801716477439</v>
      </c>
      <c r="AK54" s="31">
        <v>2229.6184196168365</v>
      </c>
      <c r="AL54" s="31">
        <v>29601.420136094275</v>
      </c>
      <c r="AM54" s="30" t="s">
        <v>18</v>
      </c>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row>
    <row r="55" spans="1:813" ht="60" x14ac:dyDescent="0.25">
      <c r="A55" s="179" t="s">
        <v>414</v>
      </c>
      <c r="B55" s="207" t="s">
        <v>413</v>
      </c>
      <c r="C55" s="34" t="s">
        <v>412</v>
      </c>
      <c r="D55" s="74" t="s">
        <v>411</v>
      </c>
      <c r="E55" s="136" t="s">
        <v>410</v>
      </c>
      <c r="F55" s="137"/>
      <c r="G55" s="32"/>
      <c r="H55" s="32">
        <v>200</v>
      </c>
      <c r="I55" s="32"/>
      <c r="J55" s="32">
        <v>760</v>
      </c>
      <c r="K55" s="32"/>
      <c r="L55" s="32">
        <v>825</v>
      </c>
      <c r="M55" s="32"/>
      <c r="N55" s="32">
        <v>1245</v>
      </c>
      <c r="O55" s="32"/>
      <c r="P55" s="32">
        <v>780</v>
      </c>
      <c r="Q55" s="32"/>
      <c r="R55" s="32">
        <v>270</v>
      </c>
      <c r="S55" s="32"/>
      <c r="T55" s="32">
        <v>350</v>
      </c>
      <c r="U55" s="32"/>
      <c r="V55" s="32">
        <v>420</v>
      </c>
      <c r="W55" s="32"/>
      <c r="X55" s="32">
        <v>180</v>
      </c>
      <c r="Y55" s="32"/>
      <c r="Z55" s="32">
        <v>70</v>
      </c>
      <c r="AA55" s="32"/>
      <c r="AB55" s="32">
        <v>620</v>
      </c>
      <c r="AC55" s="32"/>
      <c r="AD55" s="32">
        <v>280</v>
      </c>
      <c r="AE55" s="32"/>
      <c r="AF55" s="32">
        <f t="shared" si="1"/>
        <v>6000</v>
      </c>
      <c r="AG55" s="32"/>
      <c r="AH55" s="32"/>
      <c r="AI55" s="32"/>
      <c r="AJ55" s="31">
        <v>335583.37563204247</v>
      </c>
      <c r="AK55" s="31">
        <v>27335.536161508073</v>
      </c>
      <c r="AL55" s="31">
        <v>362918.91179355053</v>
      </c>
      <c r="AM55" s="30" t="s">
        <v>18</v>
      </c>
    </row>
    <row r="56" spans="1:813" ht="60.75" thickBot="1" x14ac:dyDescent="0.3">
      <c r="A56" s="182"/>
      <c r="B56" s="208"/>
      <c r="C56" s="62" t="s">
        <v>409</v>
      </c>
      <c r="D56" s="60" t="s">
        <v>408</v>
      </c>
      <c r="E56" s="136" t="s">
        <v>407</v>
      </c>
      <c r="F56" s="135"/>
      <c r="G56" s="58"/>
      <c r="H56" s="58">
        <v>125</v>
      </c>
      <c r="I56" s="58"/>
      <c r="J56" s="58">
        <v>935</v>
      </c>
      <c r="K56" s="58"/>
      <c r="L56" s="58">
        <v>580</v>
      </c>
      <c r="M56" s="58"/>
      <c r="N56" s="58">
        <v>915</v>
      </c>
      <c r="O56" s="58"/>
      <c r="P56" s="58">
        <v>490</v>
      </c>
      <c r="Q56" s="58"/>
      <c r="R56" s="58">
        <v>320</v>
      </c>
      <c r="S56" s="58"/>
      <c r="T56" s="58">
        <v>435</v>
      </c>
      <c r="U56" s="58"/>
      <c r="V56" s="58">
        <v>325</v>
      </c>
      <c r="W56" s="58"/>
      <c r="X56" s="58">
        <v>165</v>
      </c>
      <c r="Y56" s="58"/>
      <c r="Z56" s="58">
        <v>150</v>
      </c>
      <c r="AA56" s="58"/>
      <c r="AB56" s="58">
        <v>145</v>
      </c>
      <c r="AC56" s="58"/>
      <c r="AD56" s="58">
        <v>230</v>
      </c>
      <c r="AE56" s="58"/>
      <c r="AF56" s="58">
        <f t="shared" si="1"/>
        <v>4815</v>
      </c>
      <c r="AG56" s="58"/>
      <c r="AH56" s="58"/>
      <c r="AI56" s="58"/>
      <c r="AJ56" s="57">
        <v>270584.44173553068</v>
      </c>
      <c r="AK56" s="57">
        <v>22040.933278867786</v>
      </c>
      <c r="AL56" s="57">
        <v>292625.37501439848</v>
      </c>
      <c r="AM56" s="56" t="s">
        <v>18</v>
      </c>
    </row>
    <row r="57" spans="1:813" s="128" customFormat="1" ht="60.75" customHeight="1" thickBot="1" x14ac:dyDescent="0.35">
      <c r="A57" s="205" t="s">
        <v>406</v>
      </c>
      <c r="B57" s="206"/>
      <c r="C57" s="206"/>
      <c r="D57" s="206"/>
      <c r="E57" s="134"/>
      <c r="F57" s="133"/>
      <c r="G57" s="132"/>
      <c r="H57" s="132">
        <f>SUM(H58:H73)</f>
        <v>3630</v>
      </c>
      <c r="I57" s="132"/>
      <c r="J57" s="132">
        <f>SUM(J58:J73)</f>
        <v>2580</v>
      </c>
      <c r="K57" s="132"/>
      <c r="L57" s="132">
        <f>SUM(L58:L73)</f>
        <v>5230</v>
      </c>
      <c r="M57" s="132"/>
      <c r="N57" s="132">
        <f>SUM(N58:N73)</f>
        <v>13160</v>
      </c>
      <c r="O57" s="132"/>
      <c r="P57" s="132">
        <f>SUM(P58:P73)</f>
        <v>3020</v>
      </c>
      <c r="Q57" s="132"/>
      <c r="R57" s="132">
        <f>SUM(R58:R73)</f>
        <v>10860</v>
      </c>
      <c r="S57" s="132"/>
      <c r="T57" s="132">
        <f>SUM(T58:T73)</f>
        <v>11090</v>
      </c>
      <c r="U57" s="132"/>
      <c r="V57" s="132">
        <f>SUM(V58:V73)</f>
        <v>4960</v>
      </c>
      <c r="W57" s="132"/>
      <c r="X57" s="132">
        <f>SUM(X58:X73)</f>
        <v>980</v>
      </c>
      <c r="Y57" s="132"/>
      <c r="Z57" s="132">
        <f>SUM(Z58:Z73)</f>
        <v>10160</v>
      </c>
      <c r="AA57" s="132"/>
      <c r="AB57" s="132">
        <f>SUM(AB58:AB73)</f>
        <v>4280</v>
      </c>
      <c r="AC57" s="132"/>
      <c r="AD57" s="132">
        <f>SUM(AD58:AD73)</f>
        <v>4260</v>
      </c>
      <c r="AE57" s="132"/>
      <c r="AF57" s="131">
        <f>SUM(AF58:AF73)</f>
        <v>74210</v>
      </c>
      <c r="AG57" s="132"/>
      <c r="AH57" s="132"/>
      <c r="AI57" s="132">
        <f>SUM(AI58:AI73)</f>
        <v>0</v>
      </c>
      <c r="AJ57" s="131">
        <f>SUM(AJ58:AJ73)</f>
        <v>3688771.0666330727</v>
      </c>
      <c r="AK57" s="132">
        <f>SUM(AK58:AK73)</f>
        <v>300475.35785573372</v>
      </c>
      <c r="AL57" s="131">
        <f>SUM(AL58:AL73)</f>
        <v>3989246.4244888062</v>
      </c>
      <c r="AM57" s="130"/>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c r="EP57" s="129"/>
      <c r="EQ57" s="129"/>
      <c r="ER57" s="129"/>
      <c r="ES57" s="129"/>
      <c r="ET57" s="129"/>
      <c r="EU57" s="129"/>
      <c r="EV57" s="129"/>
      <c r="EW57" s="129"/>
      <c r="EX57" s="129"/>
      <c r="EY57" s="129"/>
      <c r="EZ57" s="129"/>
      <c r="FA57" s="129"/>
      <c r="FB57" s="129"/>
      <c r="FC57" s="129"/>
      <c r="FD57" s="129"/>
      <c r="FE57" s="129"/>
      <c r="FF57" s="129"/>
      <c r="FG57" s="129"/>
      <c r="FH57" s="129"/>
      <c r="FI57" s="129"/>
      <c r="FJ57" s="129"/>
      <c r="FK57" s="129"/>
      <c r="FL57" s="129"/>
      <c r="FM57" s="129"/>
      <c r="FN57" s="129"/>
      <c r="FO57" s="129"/>
      <c r="FP57" s="129"/>
      <c r="FQ57" s="129"/>
      <c r="FR57" s="129"/>
      <c r="FS57" s="129"/>
      <c r="FT57" s="129"/>
      <c r="FU57" s="129"/>
      <c r="FV57" s="129"/>
      <c r="FW57" s="129"/>
      <c r="FX57" s="129"/>
      <c r="FY57" s="129"/>
      <c r="FZ57" s="129"/>
      <c r="GA57" s="129"/>
      <c r="GB57" s="129"/>
      <c r="GC57" s="129"/>
      <c r="GD57" s="129"/>
      <c r="GE57" s="129"/>
      <c r="GF57" s="129"/>
      <c r="GG57" s="129"/>
      <c r="GH57" s="129"/>
      <c r="GI57" s="129"/>
      <c r="GJ57" s="129"/>
      <c r="GK57" s="129"/>
      <c r="GL57" s="129"/>
      <c r="GM57" s="129"/>
      <c r="GN57" s="129"/>
      <c r="GO57" s="129"/>
      <c r="GP57" s="129"/>
      <c r="GQ57" s="129"/>
      <c r="GR57" s="129"/>
      <c r="GS57" s="129"/>
      <c r="GT57" s="129"/>
      <c r="GU57" s="129"/>
      <c r="GV57" s="129"/>
      <c r="GW57" s="129"/>
      <c r="GX57" s="129"/>
      <c r="GY57" s="129"/>
      <c r="GZ57" s="129"/>
      <c r="HA57" s="129"/>
      <c r="HB57" s="129"/>
      <c r="HC57" s="129"/>
      <c r="HD57" s="129"/>
      <c r="HE57" s="129"/>
      <c r="HF57" s="129"/>
      <c r="HG57" s="129"/>
      <c r="HH57" s="129"/>
      <c r="HI57" s="129"/>
      <c r="HJ57" s="129"/>
      <c r="HK57" s="129"/>
      <c r="HL57" s="129"/>
      <c r="HM57" s="129"/>
      <c r="HN57" s="129"/>
      <c r="HO57" s="129"/>
      <c r="HP57" s="129"/>
      <c r="HQ57" s="129"/>
      <c r="HR57" s="129"/>
      <c r="HS57" s="129"/>
      <c r="HT57" s="129"/>
      <c r="HU57" s="129"/>
      <c r="HV57" s="129"/>
      <c r="HW57" s="129"/>
      <c r="HX57" s="129"/>
      <c r="HY57" s="129"/>
      <c r="HZ57" s="129"/>
      <c r="IA57" s="129"/>
      <c r="IB57" s="129"/>
      <c r="IC57" s="129"/>
      <c r="ID57" s="129"/>
      <c r="IE57" s="129"/>
      <c r="IF57" s="129"/>
      <c r="IG57" s="129"/>
      <c r="IH57" s="129"/>
      <c r="II57" s="129"/>
      <c r="IJ57" s="129"/>
      <c r="IK57" s="129"/>
      <c r="IL57" s="129"/>
      <c r="IM57" s="129"/>
      <c r="IN57" s="129"/>
      <c r="IO57" s="129"/>
      <c r="IP57" s="129"/>
      <c r="IQ57" s="129"/>
      <c r="IR57" s="129"/>
      <c r="IS57" s="129"/>
      <c r="IT57" s="129"/>
      <c r="IU57" s="129"/>
      <c r="IV57" s="129"/>
      <c r="IW57" s="129"/>
      <c r="IX57" s="129"/>
      <c r="IY57" s="129"/>
      <c r="IZ57" s="129"/>
      <c r="JA57" s="129"/>
      <c r="JB57" s="129"/>
      <c r="JC57" s="129"/>
      <c r="JD57" s="129"/>
      <c r="JE57" s="129"/>
      <c r="JF57" s="129"/>
      <c r="JG57" s="129"/>
      <c r="JH57" s="129"/>
      <c r="JI57" s="129"/>
      <c r="JJ57" s="129"/>
      <c r="JK57" s="129"/>
      <c r="JL57" s="129"/>
      <c r="JM57" s="129"/>
      <c r="JN57" s="129"/>
      <c r="JO57" s="129"/>
      <c r="JP57" s="129"/>
      <c r="JQ57" s="129"/>
      <c r="JR57" s="129"/>
      <c r="JS57" s="129"/>
      <c r="JT57" s="129"/>
      <c r="JU57" s="129"/>
      <c r="JV57" s="129"/>
      <c r="JW57" s="129"/>
      <c r="JX57" s="129"/>
      <c r="JY57" s="129"/>
      <c r="JZ57" s="129"/>
      <c r="KA57" s="129"/>
      <c r="KB57" s="129"/>
      <c r="KC57" s="129"/>
      <c r="KD57" s="129"/>
      <c r="KE57" s="129"/>
      <c r="KF57" s="129"/>
      <c r="KG57" s="129"/>
      <c r="KH57" s="129"/>
      <c r="KI57" s="129"/>
      <c r="KJ57" s="129"/>
      <c r="KK57" s="129"/>
      <c r="KL57" s="129"/>
      <c r="KM57" s="129"/>
      <c r="KN57" s="129"/>
      <c r="KO57" s="129"/>
      <c r="KP57" s="129"/>
      <c r="KQ57" s="129"/>
      <c r="KR57" s="129"/>
      <c r="KS57" s="129"/>
      <c r="KT57" s="129"/>
      <c r="KU57" s="129"/>
      <c r="KV57" s="129"/>
      <c r="KW57" s="129"/>
      <c r="KX57" s="129"/>
      <c r="KY57" s="129"/>
      <c r="KZ57" s="129"/>
      <c r="LA57" s="129"/>
      <c r="LB57" s="129"/>
      <c r="LC57" s="129"/>
      <c r="LD57" s="129"/>
      <c r="LE57" s="129"/>
      <c r="LF57" s="129"/>
      <c r="LG57" s="129"/>
      <c r="LH57" s="129"/>
      <c r="LI57" s="129"/>
      <c r="LJ57" s="129"/>
      <c r="LK57" s="129"/>
      <c r="LL57" s="129"/>
      <c r="LM57" s="129"/>
      <c r="LN57" s="129"/>
      <c r="LO57" s="129"/>
      <c r="LP57" s="129"/>
      <c r="LQ57" s="129"/>
      <c r="LR57" s="129"/>
      <c r="LS57" s="129"/>
      <c r="LT57" s="129"/>
      <c r="LU57" s="129"/>
      <c r="LV57" s="129"/>
      <c r="LW57" s="129"/>
      <c r="LX57" s="129"/>
      <c r="LY57" s="129"/>
      <c r="LZ57" s="129"/>
      <c r="MA57" s="129"/>
      <c r="MB57" s="129"/>
      <c r="MC57" s="129"/>
      <c r="MD57" s="129"/>
      <c r="ME57" s="129"/>
      <c r="MF57" s="129"/>
      <c r="MG57" s="129"/>
      <c r="MH57" s="129"/>
      <c r="MI57" s="129"/>
      <c r="MJ57" s="129"/>
      <c r="MK57" s="129"/>
      <c r="ML57" s="129"/>
      <c r="MM57" s="129"/>
      <c r="MN57" s="129"/>
      <c r="MO57" s="129"/>
      <c r="MP57" s="129"/>
      <c r="MQ57" s="129"/>
      <c r="MR57" s="129"/>
      <c r="MS57" s="129"/>
      <c r="MT57" s="129"/>
      <c r="MU57" s="129"/>
      <c r="MV57" s="129"/>
      <c r="MW57" s="129"/>
      <c r="MX57" s="129"/>
      <c r="MY57" s="129"/>
      <c r="MZ57" s="129"/>
      <c r="NA57" s="129"/>
      <c r="NB57" s="129"/>
      <c r="NC57" s="129"/>
      <c r="ND57" s="129"/>
      <c r="NE57" s="129"/>
      <c r="NF57" s="129"/>
      <c r="NG57" s="129"/>
      <c r="NH57" s="129"/>
      <c r="NI57" s="129"/>
      <c r="NJ57" s="129"/>
      <c r="NK57" s="129"/>
      <c r="NL57" s="129"/>
      <c r="NM57" s="129"/>
      <c r="NN57" s="129"/>
      <c r="NO57" s="129"/>
      <c r="NP57" s="129"/>
      <c r="NQ57" s="129"/>
      <c r="NR57" s="129"/>
      <c r="NS57" s="129"/>
      <c r="NT57" s="129"/>
      <c r="NU57" s="129"/>
      <c r="NV57" s="129"/>
      <c r="NW57" s="129"/>
      <c r="NX57" s="129"/>
      <c r="NY57" s="129"/>
      <c r="NZ57" s="129"/>
      <c r="OA57" s="129"/>
      <c r="OB57" s="129"/>
      <c r="OC57" s="129"/>
      <c r="OD57" s="129"/>
      <c r="OE57" s="129"/>
      <c r="OF57" s="129"/>
      <c r="OG57" s="129"/>
      <c r="OH57" s="129"/>
      <c r="OI57" s="129"/>
      <c r="OJ57" s="129"/>
      <c r="OK57" s="129"/>
      <c r="OL57" s="129"/>
      <c r="OM57" s="129"/>
      <c r="ON57" s="129"/>
      <c r="OO57" s="129"/>
      <c r="OP57" s="129"/>
      <c r="OQ57" s="129"/>
      <c r="OR57" s="129"/>
      <c r="OS57" s="129"/>
      <c r="OT57" s="129"/>
      <c r="OU57" s="129"/>
      <c r="OV57" s="129"/>
      <c r="OW57" s="129"/>
      <c r="OX57" s="129"/>
      <c r="OY57" s="129"/>
      <c r="OZ57" s="129"/>
      <c r="PA57" s="129"/>
      <c r="PB57" s="129"/>
      <c r="PC57" s="129"/>
      <c r="PD57" s="129"/>
      <c r="PE57" s="129"/>
      <c r="PF57" s="129"/>
      <c r="PG57" s="129"/>
      <c r="PH57" s="129"/>
      <c r="PI57" s="129"/>
      <c r="PJ57" s="129"/>
      <c r="PK57" s="129"/>
      <c r="PL57" s="129"/>
      <c r="PM57" s="129"/>
      <c r="PN57" s="129"/>
      <c r="PO57" s="129"/>
      <c r="PP57" s="129"/>
      <c r="PQ57" s="129"/>
      <c r="PR57" s="129"/>
      <c r="PS57" s="129"/>
      <c r="PT57" s="129"/>
      <c r="PU57" s="129"/>
      <c r="PV57" s="129"/>
      <c r="PW57" s="129"/>
      <c r="PX57" s="129"/>
      <c r="PY57" s="129"/>
      <c r="PZ57" s="129"/>
      <c r="QA57" s="129"/>
      <c r="QB57" s="129"/>
      <c r="QC57" s="129"/>
      <c r="QD57" s="129"/>
      <c r="QE57" s="129"/>
      <c r="QF57" s="129"/>
      <c r="QG57" s="129"/>
      <c r="QH57" s="129"/>
      <c r="QI57" s="129"/>
      <c r="QJ57" s="129"/>
      <c r="QK57" s="129"/>
      <c r="QL57" s="129"/>
      <c r="QM57" s="129"/>
      <c r="QN57" s="129"/>
      <c r="QO57" s="129"/>
      <c r="QP57" s="129"/>
      <c r="QQ57" s="129"/>
      <c r="QR57" s="129"/>
      <c r="QS57" s="129"/>
      <c r="QT57" s="129"/>
      <c r="QU57" s="129"/>
      <c r="QV57" s="129"/>
      <c r="QW57" s="129"/>
      <c r="QX57" s="129"/>
      <c r="QY57" s="129"/>
      <c r="QZ57" s="129"/>
      <c r="RA57" s="129"/>
      <c r="RB57" s="129"/>
      <c r="RC57" s="129"/>
      <c r="RD57" s="129"/>
      <c r="RE57" s="129"/>
      <c r="RF57" s="129"/>
      <c r="RG57" s="129"/>
      <c r="RH57" s="129"/>
      <c r="RI57" s="129"/>
      <c r="RJ57" s="129"/>
      <c r="RK57" s="129"/>
      <c r="RL57" s="129"/>
      <c r="RM57" s="129"/>
      <c r="RN57" s="129"/>
      <c r="RO57" s="129"/>
      <c r="RP57" s="129"/>
      <c r="RQ57" s="129"/>
      <c r="RR57" s="129"/>
      <c r="RS57" s="129"/>
      <c r="RT57" s="129"/>
      <c r="RU57" s="129"/>
      <c r="RV57" s="129"/>
      <c r="RW57" s="129"/>
      <c r="RX57" s="129"/>
      <c r="RY57" s="129"/>
      <c r="RZ57" s="129"/>
      <c r="SA57" s="129"/>
      <c r="SB57" s="129"/>
      <c r="SC57" s="129"/>
      <c r="SD57" s="129"/>
      <c r="SE57" s="129"/>
      <c r="SF57" s="129"/>
      <c r="SG57" s="129"/>
      <c r="SH57" s="129"/>
      <c r="SI57" s="129"/>
      <c r="SJ57" s="129"/>
      <c r="SK57" s="129"/>
      <c r="SL57" s="129"/>
      <c r="SM57" s="129"/>
      <c r="SN57" s="129"/>
      <c r="SO57" s="129"/>
      <c r="SP57" s="129"/>
      <c r="SQ57" s="129"/>
      <c r="SR57" s="129"/>
      <c r="SS57" s="129"/>
      <c r="ST57" s="129"/>
      <c r="SU57" s="129"/>
      <c r="SV57" s="129"/>
      <c r="SW57" s="129"/>
      <c r="SX57" s="129"/>
      <c r="SY57" s="129"/>
      <c r="SZ57" s="129"/>
      <c r="TA57" s="129"/>
      <c r="TB57" s="129"/>
      <c r="TC57" s="129"/>
      <c r="TD57" s="129"/>
      <c r="TE57" s="129"/>
      <c r="TF57" s="129"/>
      <c r="TG57" s="129"/>
      <c r="TH57" s="129"/>
      <c r="TI57" s="129"/>
      <c r="TJ57" s="129"/>
      <c r="TK57" s="129"/>
      <c r="TL57" s="129"/>
      <c r="TM57" s="129"/>
      <c r="TN57" s="129"/>
      <c r="TO57" s="129"/>
      <c r="TP57" s="129"/>
      <c r="TQ57" s="129"/>
      <c r="TR57" s="129"/>
      <c r="TS57" s="129"/>
      <c r="TT57" s="129"/>
      <c r="TU57" s="129"/>
      <c r="TV57" s="129"/>
      <c r="TW57" s="129"/>
      <c r="TX57" s="129"/>
      <c r="TY57" s="129"/>
      <c r="TZ57" s="129"/>
      <c r="UA57" s="129"/>
      <c r="UB57" s="129"/>
      <c r="UC57" s="129"/>
      <c r="UD57" s="129"/>
      <c r="UE57" s="129"/>
      <c r="UF57" s="129"/>
      <c r="UG57" s="129"/>
      <c r="UH57" s="129"/>
      <c r="UI57" s="129"/>
      <c r="UJ57" s="129"/>
      <c r="UK57" s="129"/>
      <c r="UL57" s="129"/>
      <c r="UM57" s="129"/>
      <c r="UN57" s="129"/>
      <c r="UO57" s="129"/>
      <c r="UP57" s="129"/>
      <c r="UQ57" s="129"/>
      <c r="UR57" s="129"/>
      <c r="US57" s="129"/>
      <c r="UT57" s="129"/>
      <c r="UU57" s="129"/>
      <c r="UV57" s="129"/>
      <c r="UW57" s="129"/>
      <c r="UX57" s="129"/>
      <c r="UY57" s="129"/>
      <c r="UZ57" s="129"/>
      <c r="VA57" s="129"/>
      <c r="VB57" s="129"/>
      <c r="VC57" s="129"/>
      <c r="VD57" s="129"/>
      <c r="VE57" s="129"/>
      <c r="VF57" s="129"/>
      <c r="VG57" s="129"/>
      <c r="VH57" s="129"/>
      <c r="VI57" s="129"/>
      <c r="VJ57" s="129"/>
      <c r="VK57" s="129"/>
      <c r="VL57" s="129"/>
      <c r="VM57" s="129"/>
      <c r="VN57" s="129"/>
      <c r="VO57" s="129"/>
      <c r="VP57" s="129"/>
      <c r="VQ57" s="129"/>
      <c r="VR57" s="129"/>
      <c r="VS57" s="129"/>
      <c r="VT57" s="129"/>
      <c r="VU57" s="129"/>
      <c r="VV57" s="129"/>
      <c r="VW57" s="129"/>
      <c r="VX57" s="129"/>
      <c r="VY57" s="129"/>
      <c r="VZ57" s="129"/>
      <c r="WA57" s="129"/>
      <c r="WB57" s="129"/>
      <c r="WC57" s="129"/>
      <c r="WD57" s="129"/>
      <c r="WE57" s="129"/>
      <c r="WF57" s="129"/>
      <c r="WG57" s="129"/>
      <c r="WH57" s="129"/>
      <c r="WI57" s="129"/>
      <c r="WJ57" s="129"/>
      <c r="WK57" s="129"/>
      <c r="WL57" s="129"/>
      <c r="WM57" s="129"/>
      <c r="WN57" s="129"/>
      <c r="WO57" s="129"/>
      <c r="WP57" s="129"/>
      <c r="WQ57" s="129"/>
      <c r="WR57" s="129"/>
      <c r="WS57" s="129"/>
      <c r="WT57" s="129"/>
      <c r="WU57" s="129"/>
      <c r="WV57" s="129"/>
      <c r="WW57" s="129"/>
      <c r="WX57" s="129"/>
      <c r="WY57" s="129"/>
      <c r="WZ57" s="129"/>
      <c r="XA57" s="129"/>
      <c r="XB57" s="129"/>
      <c r="XC57" s="129"/>
      <c r="XD57" s="129"/>
      <c r="XE57" s="129"/>
      <c r="XF57" s="129"/>
      <c r="XG57" s="129"/>
      <c r="XH57" s="129"/>
      <c r="XI57" s="129"/>
      <c r="XJ57" s="129"/>
      <c r="XK57" s="129"/>
      <c r="XL57" s="129"/>
      <c r="XM57" s="129"/>
      <c r="XN57" s="129"/>
      <c r="XO57" s="129"/>
      <c r="XP57" s="129"/>
      <c r="XQ57" s="129"/>
      <c r="XR57" s="129"/>
      <c r="XS57" s="129"/>
      <c r="XT57" s="129"/>
      <c r="XU57" s="129"/>
      <c r="XV57" s="129"/>
      <c r="XW57" s="129"/>
      <c r="XX57" s="129"/>
      <c r="XY57" s="129"/>
      <c r="XZ57" s="129"/>
      <c r="YA57" s="129"/>
      <c r="YB57" s="129"/>
      <c r="YC57" s="129"/>
      <c r="YD57" s="129"/>
      <c r="YE57" s="129"/>
      <c r="YF57" s="129"/>
      <c r="YG57" s="129"/>
      <c r="YH57" s="129"/>
      <c r="YI57" s="129"/>
      <c r="YJ57" s="129"/>
      <c r="YK57" s="129"/>
      <c r="YL57" s="129"/>
      <c r="YM57" s="129"/>
      <c r="YN57" s="129"/>
      <c r="YO57" s="129"/>
      <c r="YP57" s="129"/>
      <c r="YQ57" s="129"/>
      <c r="YR57" s="129"/>
      <c r="YS57" s="129"/>
      <c r="YT57" s="129"/>
      <c r="YU57" s="129"/>
      <c r="YV57" s="129"/>
      <c r="YW57" s="129"/>
      <c r="YX57" s="129"/>
      <c r="YY57" s="129"/>
      <c r="YZ57" s="129"/>
      <c r="ZA57" s="129"/>
      <c r="ZB57" s="129"/>
      <c r="ZC57" s="129"/>
      <c r="ZD57" s="129"/>
      <c r="ZE57" s="129"/>
      <c r="ZF57" s="129"/>
      <c r="ZG57" s="129"/>
      <c r="ZH57" s="129"/>
      <c r="ZI57" s="129"/>
      <c r="ZJ57" s="129"/>
      <c r="ZK57" s="129"/>
      <c r="ZL57" s="129"/>
      <c r="ZM57" s="129"/>
      <c r="ZN57" s="129"/>
      <c r="ZO57" s="129"/>
      <c r="ZP57" s="129"/>
      <c r="ZQ57" s="129"/>
      <c r="ZR57" s="129"/>
      <c r="ZS57" s="129"/>
      <c r="ZT57" s="129"/>
      <c r="ZU57" s="129"/>
      <c r="ZV57" s="129"/>
      <c r="ZW57" s="129"/>
      <c r="ZX57" s="129"/>
      <c r="ZY57" s="129"/>
      <c r="ZZ57" s="129"/>
      <c r="AAA57" s="129"/>
      <c r="AAB57" s="129"/>
      <c r="AAC57" s="129"/>
      <c r="AAD57" s="129"/>
      <c r="AAE57" s="129"/>
      <c r="AAF57" s="129"/>
      <c r="AAG57" s="129"/>
      <c r="AAH57" s="129"/>
      <c r="AAI57" s="129"/>
      <c r="AAJ57" s="129"/>
      <c r="AAK57" s="129"/>
      <c r="AAL57" s="129"/>
      <c r="AAM57" s="129"/>
      <c r="AAN57" s="129"/>
      <c r="AAO57" s="129"/>
      <c r="AAP57" s="129"/>
      <c r="AAQ57" s="129"/>
      <c r="AAR57" s="129"/>
      <c r="AAS57" s="129"/>
      <c r="AAT57" s="129"/>
      <c r="AAU57" s="129"/>
      <c r="AAV57" s="129"/>
      <c r="AAW57" s="129"/>
      <c r="AAX57" s="129"/>
      <c r="AAY57" s="129"/>
      <c r="AAZ57" s="129"/>
      <c r="ABA57" s="129"/>
      <c r="ABB57" s="129"/>
      <c r="ABC57" s="129"/>
      <c r="ABD57" s="129"/>
      <c r="ABE57" s="129"/>
      <c r="ABF57" s="129"/>
      <c r="ABG57" s="129"/>
      <c r="ABH57" s="129"/>
      <c r="ABI57" s="129"/>
      <c r="ABJ57" s="129"/>
      <c r="ABK57" s="129"/>
      <c r="ABL57" s="129"/>
      <c r="ABM57" s="129"/>
      <c r="ABN57" s="129"/>
      <c r="ABO57" s="129"/>
      <c r="ABP57" s="129"/>
      <c r="ABQ57" s="129"/>
      <c r="ABR57" s="129"/>
      <c r="ABS57" s="129"/>
      <c r="ABT57" s="129"/>
      <c r="ABU57" s="129"/>
      <c r="ABV57" s="129"/>
      <c r="ABW57" s="129"/>
      <c r="ABX57" s="129"/>
      <c r="ABY57" s="129"/>
      <c r="ABZ57" s="129"/>
      <c r="ACA57" s="129"/>
      <c r="ACB57" s="129"/>
      <c r="ACC57" s="129"/>
      <c r="ACD57" s="129"/>
      <c r="ACE57" s="129"/>
      <c r="ACF57" s="129"/>
      <c r="ACG57" s="129"/>
      <c r="ACH57" s="129"/>
      <c r="ACI57" s="129"/>
      <c r="ACJ57" s="129"/>
      <c r="ACK57" s="129"/>
      <c r="ACL57" s="129"/>
      <c r="ACM57" s="129"/>
      <c r="ACN57" s="129"/>
      <c r="ACO57" s="129"/>
      <c r="ACP57" s="129"/>
      <c r="ACQ57" s="129"/>
      <c r="ACR57" s="129"/>
      <c r="ACS57" s="129"/>
      <c r="ACT57" s="129"/>
      <c r="ACU57" s="129"/>
      <c r="ACV57" s="129"/>
      <c r="ACW57" s="129"/>
      <c r="ACX57" s="129"/>
      <c r="ACY57" s="129"/>
      <c r="ACZ57" s="129"/>
      <c r="ADA57" s="129"/>
      <c r="ADB57" s="129"/>
      <c r="ADC57" s="129"/>
      <c r="ADD57" s="129"/>
      <c r="ADE57" s="129"/>
      <c r="ADF57" s="129"/>
      <c r="ADG57" s="129"/>
      <c r="ADH57" s="129"/>
      <c r="ADI57" s="129"/>
      <c r="ADJ57" s="129"/>
      <c r="ADK57" s="129"/>
      <c r="ADL57" s="129"/>
      <c r="ADM57" s="129"/>
      <c r="ADN57" s="129"/>
      <c r="ADO57" s="129"/>
      <c r="ADP57" s="129"/>
      <c r="ADQ57" s="129"/>
      <c r="ADR57" s="129"/>
      <c r="ADS57" s="129"/>
      <c r="ADT57" s="129"/>
      <c r="ADU57" s="129"/>
      <c r="ADV57" s="129"/>
      <c r="ADW57" s="129"/>
      <c r="ADX57" s="129"/>
      <c r="ADY57" s="129"/>
      <c r="ADZ57" s="129"/>
      <c r="AEA57" s="129"/>
      <c r="AEB57" s="129"/>
      <c r="AEC57" s="129"/>
      <c r="AED57" s="129"/>
      <c r="AEE57" s="129"/>
      <c r="AEF57" s="129"/>
      <c r="AEG57" s="129"/>
    </row>
    <row r="58" spans="1:813" s="93" customFormat="1" ht="75" x14ac:dyDescent="0.25">
      <c r="A58" s="127">
        <v>14</v>
      </c>
      <c r="B58" s="82" t="s">
        <v>375</v>
      </c>
      <c r="C58" s="126" t="s">
        <v>405</v>
      </c>
      <c r="D58" s="82" t="s">
        <v>404</v>
      </c>
      <c r="E58" s="49" t="s">
        <v>403</v>
      </c>
      <c r="F58" s="115">
        <v>38.3483563096501</v>
      </c>
      <c r="G58" s="33">
        <f>63/2</f>
        <v>31.5</v>
      </c>
      <c r="H58" s="33">
        <f t="shared" ref="H58:H73" si="2">ROUND($F58*G58,-1)</f>
        <v>1210</v>
      </c>
      <c r="I58" s="33">
        <f>31/2</f>
        <v>15.5</v>
      </c>
      <c r="J58" s="33">
        <f t="shared" ref="J58:J64" si="3">ROUND($F58*I58,-1)</f>
        <v>590</v>
      </c>
      <c r="K58" s="33">
        <f>81/2</f>
        <v>40.5</v>
      </c>
      <c r="L58" s="33">
        <f t="shared" ref="L58:L64" si="4">ROUND($F58*K58,-1)</f>
        <v>1550</v>
      </c>
      <c r="M58" s="33">
        <f>226/2</f>
        <v>113</v>
      </c>
      <c r="N58" s="33">
        <f t="shared" ref="N58:N64" si="5">ROUND($F58*M58,-1)</f>
        <v>4330</v>
      </c>
      <c r="O58" s="33">
        <f>41/2</f>
        <v>20.5</v>
      </c>
      <c r="P58" s="33">
        <f t="shared" ref="P58:P73" si="6">ROUND($F58*O58,-1)</f>
        <v>790</v>
      </c>
      <c r="Q58" s="33">
        <f>185/2</f>
        <v>92.5</v>
      </c>
      <c r="R58" s="33">
        <f t="shared" ref="R58:R73" si="7">ROUND($F58*Q58,-1)</f>
        <v>3550</v>
      </c>
      <c r="S58" s="33">
        <f>221/2</f>
        <v>110.5</v>
      </c>
      <c r="T58" s="33">
        <f t="shared" ref="T58:T64" si="8">ROUND($F58*S58,-1)</f>
        <v>4240</v>
      </c>
      <c r="U58" s="33">
        <f>75/2</f>
        <v>37.5</v>
      </c>
      <c r="V58" s="33">
        <f t="shared" ref="V58:V64" si="9">ROUND($F58*U58,-1)</f>
        <v>1440</v>
      </c>
      <c r="W58" s="33">
        <f>18/2</f>
        <v>9</v>
      </c>
      <c r="X58" s="33">
        <f t="shared" ref="X58:X73" si="10">ROUND($F58*W58,-1)</f>
        <v>350</v>
      </c>
      <c r="Y58" s="33">
        <f>161/2</f>
        <v>80.5</v>
      </c>
      <c r="Z58" s="33">
        <f t="shared" ref="Z58:Z71" si="11">ROUND($F58*Y58,-1)</f>
        <v>3090</v>
      </c>
      <c r="AA58" s="33">
        <f>69/2</f>
        <v>34.5</v>
      </c>
      <c r="AB58" s="33">
        <f t="shared" ref="AB58:AB64" si="12">ROUND($F58*AA58,-1)</f>
        <v>1320</v>
      </c>
      <c r="AC58" s="33">
        <f>66/2</f>
        <v>33</v>
      </c>
      <c r="AD58" s="33">
        <f t="shared" ref="AD58:AD64" si="13">ROUND($F58*AC58,-1)</f>
        <v>1270</v>
      </c>
      <c r="AE58" s="33"/>
      <c r="AF58" s="33">
        <f t="shared" ref="AF58:AF73" si="14">H58+J58+L58+N58+P58+R58+T58+V58+X58+Z58+AB58+AD58</f>
        <v>23730</v>
      </c>
      <c r="AG58" s="33">
        <v>0</v>
      </c>
      <c r="AH58" s="33">
        <v>0</v>
      </c>
      <c r="AI58" s="33">
        <v>0</v>
      </c>
      <c r="AJ58" s="46">
        <v>1287489.0346749853</v>
      </c>
      <c r="AK58" s="46">
        <v>104874.69171742469</v>
      </c>
      <c r="AL58" s="46">
        <v>1392363.72639241</v>
      </c>
      <c r="AM58" s="45" t="s">
        <v>18</v>
      </c>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c r="FL58" s="21"/>
      <c r="FM58" s="21"/>
      <c r="FN58" s="21"/>
      <c r="FO58" s="21"/>
      <c r="FP58" s="21"/>
      <c r="FQ58" s="21"/>
      <c r="FR58" s="21"/>
      <c r="FS58" s="21"/>
      <c r="FT58" s="21"/>
      <c r="FU58" s="21"/>
      <c r="FV58" s="21"/>
      <c r="FW58" s="21"/>
      <c r="FX58" s="21"/>
      <c r="FY58" s="21"/>
      <c r="FZ58" s="21"/>
      <c r="GA58" s="21"/>
      <c r="GB58" s="21"/>
      <c r="GC58" s="21"/>
      <c r="GD58" s="21"/>
      <c r="GE58" s="21"/>
      <c r="GF58" s="21"/>
      <c r="GG58" s="21"/>
      <c r="GH58" s="21"/>
      <c r="GI58" s="21"/>
      <c r="GJ58" s="21"/>
      <c r="GK58" s="21"/>
      <c r="GL58" s="21"/>
      <c r="GM58" s="21"/>
      <c r="GN58" s="21"/>
      <c r="GO58" s="21"/>
      <c r="GP58" s="21"/>
      <c r="GQ58" s="21"/>
      <c r="GR58" s="21"/>
      <c r="GS58" s="21"/>
      <c r="GT58" s="21"/>
      <c r="GU58" s="21"/>
      <c r="GV58" s="21"/>
      <c r="GW58" s="21"/>
      <c r="GX58" s="21"/>
      <c r="GY58" s="21"/>
      <c r="GZ58" s="21"/>
      <c r="HA58" s="21"/>
      <c r="HB58" s="21"/>
      <c r="HC58" s="21"/>
      <c r="HD58" s="21"/>
      <c r="HE58" s="21"/>
      <c r="HF58" s="21"/>
      <c r="HG58" s="21"/>
      <c r="HH58" s="21"/>
      <c r="HI58" s="21"/>
      <c r="HJ58" s="21"/>
      <c r="HK58" s="21"/>
      <c r="HL58" s="21"/>
      <c r="HM58" s="21"/>
      <c r="HN58" s="21"/>
      <c r="HO58" s="21"/>
      <c r="HP58" s="21"/>
      <c r="HQ58" s="21"/>
      <c r="HR58" s="21"/>
      <c r="HS58" s="21"/>
      <c r="HT58" s="21"/>
      <c r="HU58" s="21"/>
      <c r="HV58" s="21"/>
      <c r="HW58" s="21"/>
      <c r="HX58" s="21"/>
      <c r="HY58" s="21"/>
      <c r="HZ58" s="21"/>
      <c r="IA58" s="21"/>
      <c r="IB58" s="21"/>
      <c r="IC58" s="21"/>
      <c r="ID58" s="21"/>
      <c r="IE58" s="21"/>
      <c r="IF58" s="21"/>
      <c r="IG58" s="21"/>
      <c r="IH58" s="21"/>
      <c r="II58" s="21"/>
      <c r="IJ58" s="21"/>
      <c r="IK58" s="21"/>
      <c r="IL58" s="21"/>
      <c r="IM58" s="21"/>
      <c r="IN58" s="21"/>
      <c r="IO58" s="21"/>
      <c r="IP58" s="21"/>
      <c r="IQ58" s="21"/>
      <c r="IR58" s="21"/>
      <c r="IS58" s="21"/>
      <c r="IT58" s="21"/>
      <c r="IU58" s="21"/>
      <c r="IV58" s="21"/>
      <c r="IW58" s="21"/>
      <c r="IX58" s="21"/>
      <c r="IY58" s="21"/>
      <c r="IZ58" s="21"/>
      <c r="JA58" s="21"/>
      <c r="JB58" s="21"/>
      <c r="JC58" s="21"/>
      <c r="JD58" s="21"/>
      <c r="JE58" s="21"/>
      <c r="JF58" s="21"/>
      <c r="JG58" s="21"/>
      <c r="JH58" s="21"/>
      <c r="JI58" s="21"/>
      <c r="JJ58" s="21"/>
      <c r="JK58" s="21"/>
      <c r="JL58" s="21"/>
      <c r="JM58" s="21"/>
      <c r="JN58" s="21"/>
      <c r="JO58" s="21"/>
      <c r="JP58" s="21"/>
      <c r="JQ58" s="21"/>
      <c r="JR58" s="21"/>
      <c r="JS58" s="21"/>
      <c r="JT58" s="21"/>
      <c r="JU58" s="21"/>
      <c r="JV58" s="21"/>
      <c r="JW58" s="21"/>
      <c r="JX58" s="21"/>
      <c r="JY58" s="21"/>
      <c r="JZ58" s="21"/>
      <c r="KA58" s="21"/>
      <c r="KB58" s="21"/>
      <c r="KC58" s="21"/>
      <c r="KD58" s="21"/>
      <c r="KE58" s="21"/>
      <c r="KF58" s="21"/>
      <c r="KG58" s="21"/>
      <c r="KH58" s="21"/>
      <c r="KI58" s="21"/>
      <c r="KJ58" s="21"/>
      <c r="KK58" s="21"/>
      <c r="KL58" s="21"/>
      <c r="KM58" s="21"/>
      <c r="KN58" s="21"/>
      <c r="KO58" s="21"/>
      <c r="KP58" s="21"/>
      <c r="KQ58" s="21"/>
      <c r="KR58" s="21"/>
      <c r="KS58" s="21"/>
      <c r="KT58" s="21"/>
      <c r="KU58" s="21"/>
      <c r="KV58" s="21"/>
      <c r="KW58" s="21"/>
      <c r="KX58" s="21"/>
      <c r="KY58" s="21"/>
      <c r="KZ58" s="21"/>
      <c r="LA58" s="21"/>
      <c r="LB58" s="21"/>
      <c r="LC58" s="21"/>
      <c r="LD58" s="21"/>
      <c r="LE58" s="21"/>
      <c r="LF58" s="21"/>
      <c r="LG58" s="21"/>
      <c r="LH58" s="21"/>
      <c r="LI58" s="21"/>
      <c r="LJ58" s="21"/>
      <c r="LK58" s="21"/>
      <c r="LL58" s="21"/>
      <c r="LM58" s="21"/>
      <c r="LN58" s="21"/>
      <c r="LO58" s="21"/>
      <c r="LP58" s="21"/>
      <c r="LQ58" s="21"/>
      <c r="LR58" s="21"/>
      <c r="LS58" s="21"/>
      <c r="LT58" s="21"/>
      <c r="LU58" s="21"/>
      <c r="LV58" s="21"/>
      <c r="LW58" s="21"/>
      <c r="LX58" s="21"/>
      <c r="LY58" s="21"/>
      <c r="LZ58" s="21"/>
      <c r="MA58" s="21"/>
      <c r="MB58" s="21"/>
      <c r="MC58" s="21"/>
      <c r="MD58" s="21"/>
      <c r="ME58" s="21"/>
      <c r="MF58" s="21"/>
      <c r="MG58" s="21"/>
      <c r="MH58" s="21"/>
      <c r="MI58" s="21"/>
      <c r="MJ58" s="21"/>
      <c r="MK58" s="21"/>
      <c r="ML58" s="21"/>
      <c r="MM58" s="21"/>
      <c r="MN58" s="21"/>
      <c r="MO58" s="21"/>
      <c r="MP58" s="21"/>
      <c r="MQ58" s="21"/>
      <c r="MR58" s="21"/>
      <c r="MS58" s="21"/>
      <c r="MT58" s="21"/>
      <c r="MU58" s="21"/>
      <c r="MV58" s="21"/>
      <c r="MW58" s="21"/>
      <c r="MX58" s="21"/>
      <c r="MY58" s="21"/>
      <c r="MZ58" s="21"/>
      <c r="NA58" s="21"/>
      <c r="NB58" s="21"/>
      <c r="NC58" s="21"/>
      <c r="ND58" s="21"/>
      <c r="NE58" s="21"/>
      <c r="NF58" s="21"/>
      <c r="NG58" s="21"/>
      <c r="NH58" s="21"/>
      <c r="NI58" s="21"/>
      <c r="NJ58" s="21"/>
      <c r="NK58" s="21"/>
      <c r="NL58" s="21"/>
      <c r="NM58" s="21"/>
      <c r="NN58" s="21"/>
      <c r="NO58" s="21"/>
      <c r="NP58" s="21"/>
      <c r="NQ58" s="21"/>
      <c r="NR58" s="21"/>
      <c r="NS58" s="21"/>
      <c r="NT58" s="21"/>
      <c r="NU58" s="21"/>
      <c r="NV58" s="21"/>
      <c r="NW58" s="21"/>
      <c r="NX58" s="21"/>
      <c r="NY58" s="21"/>
      <c r="NZ58" s="21"/>
      <c r="OA58" s="21"/>
      <c r="OB58" s="21"/>
      <c r="OC58" s="21"/>
      <c r="OD58" s="21"/>
      <c r="OE58" s="21"/>
      <c r="OF58" s="21"/>
      <c r="OG58" s="21"/>
      <c r="OH58" s="21"/>
      <c r="OI58" s="21"/>
      <c r="OJ58" s="21"/>
      <c r="OK58" s="21"/>
      <c r="OL58" s="21"/>
      <c r="OM58" s="21"/>
      <c r="ON58" s="21"/>
      <c r="OO58" s="21"/>
      <c r="OP58" s="21"/>
      <c r="OQ58" s="21"/>
      <c r="OR58" s="21"/>
      <c r="OS58" s="21"/>
      <c r="OT58" s="21"/>
      <c r="OU58" s="21"/>
      <c r="OV58" s="21"/>
      <c r="OW58" s="21"/>
      <c r="OX58" s="21"/>
      <c r="OY58" s="21"/>
      <c r="OZ58" s="21"/>
      <c r="PA58" s="21"/>
      <c r="PB58" s="21"/>
      <c r="PC58" s="21"/>
      <c r="PD58" s="21"/>
      <c r="PE58" s="21"/>
      <c r="PF58" s="21"/>
      <c r="PG58" s="21"/>
      <c r="PH58" s="21"/>
      <c r="PI58" s="21"/>
      <c r="PJ58" s="21"/>
      <c r="PK58" s="21"/>
      <c r="PL58" s="21"/>
      <c r="PM58" s="21"/>
      <c r="PN58" s="21"/>
      <c r="PO58" s="21"/>
      <c r="PP58" s="21"/>
      <c r="PQ58" s="21"/>
      <c r="PR58" s="21"/>
      <c r="PS58" s="21"/>
      <c r="PT58" s="21"/>
      <c r="PU58" s="21"/>
      <c r="PV58" s="21"/>
      <c r="PW58" s="21"/>
      <c r="PX58" s="21"/>
      <c r="PY58" s="21"/>
      <c r="PZ58" s="21"/>
      <c r="QA58" s="21"/>
      <c r="QB58" s="21"/>
      <c r="QC58" s="21"/>
      <c r="QD58" s="21"/>
      <c r="QE58" s="21"/>
      <c r="QF58" s="21"/>
      <c r="QG58" s="21"/>
      <c r="QH58" s="21"/>
      <c r="QI58" s="21"/>
      <c r="QJ58" s="21"/>
      <c r="QK58" s="21"/>
      <c r="QL58" s="21"/>
      <c r="QM58" s="21"/>
      <c r="QN58" s="21"/>
      <c r="QO58" s="21"/>
      <c r="QP58" s="21"/>
      <c r="QQ58" s="21"/>
      <c r="QR58" s="21"/>
      <c r="QS58" s="21"/>
      <c r="QT58" s="21"/>
      <c r="QU58" s="21"/>
      <c r="QV58" s="21"/>
      <c r="QW58" s="21"/>
      <c r="QX58" s="21"/>
      <c r="QY58" s="21"/>
      <c r="QZ58" s="21"/>
      <c r="RA58" s="21"/>
      <c r="RB58" s="21"/>
      <c r="RC58" s="21"/>
      <c r="RD58" s="21"/>
      <c r="RE58" s="21"/>
      <c r="RF58" s="21"/>
      <c r="RG58" s="21"/>
      <c r="RH58" s="21"/>
      <c r="RI58" s="21"/>
      <c r="RJ58" s="21"/>
      <c r="RK58" s="21"/>
      <c r="RL58" s="21"/>
      <c r="RM58" s="21"/>
      <c r="RN58" s="21"/>
      <c r="RO58" s="21"/>
      <c r="RP58" s="21"/>
      <c r="RQ58" s="21"/>
      <c r="RR58" s="21"/>
      <c r="RS58" s="21"/>
      <c r="RT58" s="21"/>
      <c r="RU58" s="21"/>
      <c r="RV58" s="21"/>
      <c r="RW58" s="21"/>
      <c r="RX58" s="21"/>
      <c r="RY58" s="21"/>
      <c r="RZ58" s="21"/>
      <c r="SA58" s="21"/>
      <c r="SB58" s="21"/>
      <c r="SC58" s="21"/>
      <c r="SD58" s="21"/>
      <c r="SE58" s="21"/>
      <c r="SF58" s="21"/>
      <c r="SG58" s="21"/>
      <c r="SH58" s="21"/>
      <c r="SI58" s="21"/>
      <c r="SJ58" s="21"/>
      <c r="SK58" s="21"/>
      <c r="SL58" s="21"/>
      <c r="SM58" s="21"/>
      <c r="SN58" s="21"/>
      <c r="SO58" s="21"/>
      <c r="SP58" s="21"/>
      <c r="SQ58" s="21"/>
      <c r="SR58" s="21"/>
      <c r="SS58" s="21"/>
      <c r="ST58" s="21"/>
      <c r="SU58" s="21"/>
      <c r="SV58" s="21"/>
      <c r="SW58" s="21"/>
      <c r="SX58" s="21"/>
      <c r="SY58" s="21"/>
      <c r="SZ58" s="21"/>
      <c r="TA58" s="21"/>
      <c r="TB58" s="21"/>
      <c r="TC58" s="21"/>
      <c r="TD58" s="21"/>
      <c r="TE58" s="21"/>
      <c r="TF58" s="21"/>
      <c r="TG58" s="21"/>
      <c r="TH58" s="21"/>
      <c r="TI58" s="21"/>
      <c r="TJ58" s="21"/>
      <c r="TK58" s="21"/>
      <c r="TL58" s="21"/>
      <c r="TM58" s="21"/>
      <c r="TN58" s="21"/>
      <c r="TO58" s="21"/>
      <c r="TP58" s="21"/>
      <c r="TQ58" s="21"/>
      <c r="TR58" s="21"/>
      <c r="TS58" s="21"/>
      <c r="TT58" s="21"/>
      <c r="TU58" s="21"/>
      <c r="TV58" s="21"/>
      <c r="TW58" s="21"/>
      <c r="TX58" s="21"/>
      <c r="TY58" s="21"/>
      <c r="TZ58" s="21"/>
      <c r="UA58" s="21"/>
      <c r="UB58" s="21"/>
      <c r="UC58" s="21"/>
      <c r="UD58" s="21"/>
      <c r="UE58" s="21"/>
      <c r="UF58" s="21"/>
      <c r="UG58" s="21"/>
      <c r="UH58" s="21"/>
      <c r="UI58" s="21"/>
      <c r="UJ58" s="21"/>
      <c r="UK58" s="21"/>
      <c r="UL58" s="21"/>
      <c r="UM58" s="21"/>
      <c r="UN58" s="21"/>
      <c r="UO58" s="21"/>
      <c r="UP58" s="21"/>
      <c r="UQ58" s="21"/>
      <c r="UR58" s="21"/>
      <c r="US58" s="21"/>
      <c r="UT58" s="21"/>
      <c r="UU58" s="21"/>
      <c r="UV58" s="21"/>
      <c r="UW58" s="21"/>
      <c r="UX58" s="21"/>
      <c r="UY58" s="21"/>
      <c r="UZ58" s="21"/>
      <c r="VA58" s="21"/>
      <c r="VB58" s="21"/>
      <c r="VC58" s="21"/>
      <c r="VD58" s="21"/>
      <c r="VE58" s="21"/>
      <c r="VF58" s="21"/>
      <c r="VG58" s="21"/>
      <c r="VH58" s="21"/>
      <c r="VI58" s="21"/>
      <c r="VJ58" s="21"/>
      <c r="VK58" s="21"/>
      <c r="VL58" s="21"/>
      <c r="VM58" s="21"/>
      <c r="VN58" s="21"/>
      <c r="VO58" s="21"/>
      <c r="VP58" s="21"/>
      <c r="VQ58" s="21"/>
      <c r="VR58" s="21"/>
      <c r="VS58" s="21"/>
      <c r="VT58" s="21"/>
      <c r="VU58" s="21"/>
      <c r="VV58" s="21"/>
      <c r="VW58" s="21"/>
      <c r="VX58" s="21"/>
      <c r="VY58" s="21"/>
      <c r="VZ58" s="21"/>
      <c r="WA58" s="21"/>
      <c r="WB58" s="21"/>
      <c r="WC58" s="21"/>
      <c r="WD58" s="21"/>
      <c r="WE58" s="21"/>
      <c r="WF58" s="21"/>
      <c r="WG58" s="21"/>
      <c r="WH58" s="21"/>
      <c r="WI58" s="21"/>
      <c r="WJ58" s="21"/>
      <c r="WK58" s="21"/>
      <c r="WL58" s="21"/>
      <c r="WM58" s="21"/>
      <c r="WN58" s="21"/>
      <c r="WO58" s="21"/>
      <c r="WP58" s="21"/>
      <c r="WQ58" s="21"/>
      <c r="WR58" s="21"/>
      <c r="WS58" s="21"/>
      <c r="WT58" s="21"/>
      <c r="WU58" s="21"/>
      <c r="WV58" s="21"/>
      <c r="WW58" s="21"/>
      <c r="WX58" s="21"/>
      <c r="WY58" s="21"/>
      <c r="WZ58" s="21"/>
      <c r="XA58" s="21"/>
      <c r="XB58" s="21"/>
      <c r="XC58" s="21"/>
      <c r="XD58" s="21"/>
      <c r="XE58" s="21"/>
      <c r="XF58" s="21"/>
      <c r="XG58" s="21"/>
      <c r="XH58" s="21"/>
      <c r="XI58" s="21"/>
      <c r="XJ58" s="21"/>
      <c r="XK58" s="21"/>
      <c r="XL58" s="21"/>
      <c r="XM58" s="21"/>
      <c r="XN58" s="21"/>
      <c r="XO58" s="21"/>
      <c r="XP58" s="21"/>
      <c r="XQ58" s="21"/>
      <c r="XR58" s="21"/>
      <c r="XS58" s="21"/>
      <c r="XT58" s="21"/>
      <c r="XU58" s="21"/>
      <c r="XV58" s="21"/>
      <c r="XW58" s="21"/>
      <c r="XX58" s="21"/>
      <c r="XY58" s="21"/>
      <c r="XZ58" s="21"/>
      <c r="YA58" s="21"/>
      <c r="YB58" s="21"/>
      <c r="YC58" s="21"/>
      <c r="YD58" s="21"/>
      <c r="YE58" s="21"/>
      <c r="YF58" s="21"/>
      <c r="YG58" s="21"/>
      <c r="YH58" s="21"/>
      <c r="YI58" s="21"/>
      <c r="YJ58" s="21"/>
      <c r="YK58" s="21"/>
      <c r="YL58" s="21"/>
      <c r="YM58" s="21"/>
      <c r="YN58" s="21"/>
      <c r="YO58" s="21"/>
      <c r="YP58" s="21"/>
      <c r="YQ58" s="21"/>
      <c r="YR58" s="21"/>
      <c r="YS58" s="21"/>
      <c r="YT58" s="21"/>
      <c r="YU58" s="21"/>
      <c r="YV58" s="21"/>
      <c r="YW58" s="21"/>
      <c r="YX58" s="21"/>
      <c r="YY58" s="21"/>
      <c r="YZ58" s="21"/>
      <c r="ZA58" s="21"/>
      <c r="ZB58" s="21"/>
      <c r="ZC58" s="21"/>
      <c r="ZD58" s="21"/>
      <c r="ZE58" s="21"/>
      <c r="ZF58" s="21"/>
      <c r="ZG58" s="21"/>
      <c r="ZH58" s="21"/>
      <c r="ZI58" s="21"/>
      <c r="ZJ58" s="21"/>
      <c r="ZK58" s="21"/>
      <c r="ZL58" s="21"/>
      <c r="ZM58" s="21"/>
      <c r="ZN58" s="21"/>
      <c r="ZO58" s="21"/>
      <c r="ZP58" s="21"/>
      <c r="ZQ58" s="21"/>
      <c r="ZR58" s="21"/>
      <c r="ZS58" s="21"/>
      <c r="ZT58" s="21"/>
      <c r="ZU58" s="21"/>
      <c r="ZV58" s="21"/>
      <c r="ZW58" s="21"/>
      <c r="ZX58" s="21"/>
      <c r="ZY58" s="21"/>
      <c r="ZZ58" s="21"/>
      <c r="AAA58" s="21"/>
      <c r="AAB58" s="21"/>
      <c r="AAC58" s="21"/>
      <c r="AAD58" s="21"/>
      <c r="AAE58" s="21"/>
      <c r="AAF58" s="21"/>
      <c r="AAG58" s="21"/>
      <c r="AAH58" s="21"/>
      <c r="AAI58" s="21"/>
      <c r="AAJ58" s="21"/>
      <c r="AAK58" s="21"/>
      <c r="AAL58" s="21"/>
      <c r="AAM58" s="21"/>
      <c r="AAN58" s="21"/>
      <c r="AAO58" s="21"/>
      <c r="AAP58" s="21"/>
      <c r="AAQ58" s="21"/>
      <c r="AAR58" s="21"/>
      <c r="AAS58" s="21"/>
      <c r="AAT58" s="21"/>
      <c r="AAU58" s="21"/>
      <c r="AAV58" s="21"/>
      <c r="AAW58" s="21"/>
      <c r="AAX58" s="21"/>
      <c r="AAY58" s="21"/>
      <c r="AAZ58" s="21"/>
      <c r="ABA58" s="21"/>
      <c r="ABB58" s="21"/>
      <c r="ABC58" s="21"/>
      <c r="ABD58" s="21"/>
      <c r="ABE58" s="21"/>
      <c r="ABF58" s="21"/>
      <c r="ABG58" s="21"/>
      <c r="ABH58" s="21"/>
      <c r="ABI58" s="21"/>
      <c r="ABJ58" s="21"/>
      <c r="ABK58" s="21"/>
      <c r="ABL58" s="21"/>
      <c r="ABM58" s="21"/>
      <c r="ABN58" s="21"/>
      <c r="ABO58" s="21"/>
      <c r="ABP58" s="21"/>
      <c r="ABQ58" s="21"/>
      <c r="ABR58" s="21"/>
      <c r="ABS58" s="21"/>
      <c r="ABT58" s="21"/>
      <c r="ABU58" s="21"/>
      <c r="ABV58" s="21"/>
      <c r="ABW58" s="21"/>
      <c r="ABX58" s="21"/>
      <c r="ABY58" s="21"/>
      <c r="ABZ58" s="21"/>
      <c r="ACA58" s="21"/>
      <c r="ACB58" s="21"/>
      <c r="ACC58" s="21"/>
      <c r="ACD58" s="21"/>
      <c r="ACE58" s="21"/>
      <c r="ACF58" s="21"/>
      <c r="ACG58" s="21"/>
      <c r="ACH58" s="21"/>
      <c r="ACI58" s="21"/>
      <c r="ACJ58" s="21"/>
      <c r="ACK58" s="21"/>
      <c r="ACL58" s="21"/>
      <c r="ACM58" s="21"/>
      <c r="ACN58" s="21"/>
      <c r="ACO58" s="21"/>
      <c r="ACP58" s="21"/>
      <c r="ACQ58" s="21"/>
      <c r="ACR58" s="21"/>
      <c r="ACS58" s="21"/>
      <c r="ACT58" s="21"/>
      <c r="ACU58" s="21"/>
      <c r="ACV58" s="21"/>
      <c r="ACW58" s="21"/>
      <c r="ACX58" s="21"/>
      <c r="ACY58" s="21"/>
      <c r="ACZ58" s="21"/>
      <c r="ADA58" s="21"/>
      <c r="ADB58" s="21"/>
      <c r="ADC58" s="21"/>
      <c r="ADD58" s="21"/>
      <c r="ADE58" s="21"/>
      <c r="ADF58" s="21"/>
      <c r="ADG58" s="21"/>
      <c r="ADH58" s="21"/>
      <c r="ADI58" s="21"/>
      <c r="ADJ58" s="21"/>
      <c r="ADK58" s="21"/>
      <c r="ADL58" s="21"/>
      <c r="ADM58" s="21"/>
      <c r="ADN58" s="21"/>
      <c r="ADO58" s="21"/>
      <c r="ADP58" s="21"/>
      <c r="ADQ58" s="21"/>
      <c r="ADR58" s="21"/>
      <c r="ADS58" s="21"/>
      <c r="ADT58" s="21"/>
      <c r="ADU58" s="21"/>
      <c r="ADV58" s="21"/>
      <c r="ADW58" s="21"/>
      <c r="ADX58" s="21"/>
      <c r="ADY58" s="21"/>
      <c r="ADZ58" s="21"/>
      <c r="AEA58" s="21"/>
      <c r="AEB58" s="21"/>
      <c r="AEC58" s="21"/>
      <c r="AED58" s="21"/>
      <c r="AEE58" s="21"/>
      <c r="AEF58" s="21"/>
      <c r="AEG58" s="21"/>
    </row>
    <row r="59" spans="1:813" s="93" customFormat="1" ht="120" x14ac:dyDescent="0.25">
      <c r="A59" s="92">
        <v>15</v>
      </c>
      <c r="B59" s="63" t="s">
        <v>375</v>
      </c>
      <c r="C59" s="80" t="s">
        <v>402</v>
      </c>
      <c r="D59" s="63" t="s">
        <v>401</v>
      </c>
      <c r="E59" s="36" t="s">
        <v>400</v>
      </c>
      <c r="F59" s="111">
        <v>19.505557076375581</v>
      </c>
      <c r="G59" s="32">
        <f>65/2</f>
        <v>32.5</v>
      </c>
      <c r="H59" s="33">
        <f t="shared" si="2"/>
        <v>630</v>
      </c>
      <c r="I59" s="33">
        <f>34/2</f>
        <v>17</v>
      </c>
      <c r="J59" s="33">
        <f t="shared" si="3"/>
        <v>330</v>
      </c>
      <c r="K59" s="33">
        <f>97/2</f>
        <v>48.5</v>
      </c>
      <c r="L59" s="33">
        <f t="shared" si="4"/>
        <v>950</v>
      </c>
      <c r="M59" s="33">
        <f>281/2</f>
        <v>140.5</v>
      </c>
      <c r="N59" s="33">
        <f t="shared" si="5"/>
        <v>2740</v>
      </c>
      <c r="O59" s="33">
        <f>63/2</f>
        <v>31.5</v>
      </c>
      <c r="P59" s="33">
        <f t="shared" si="6"/>
        <v>610</v>
      </c>
      <c r="Q59" s="33">
        <f>194/2</f>
        <v>97</v>
      </c>
      <c r="R59" s="33">
        <f t="shared" si="7"/>
        <v>1890</v>
      </c>
      <c r="S59" s="33">
        <f>229/2</f>
        <v>114.5</v>
      </c>
      <c r="T59" s="33">
        <f t="shared" si="8"/>
        <v>2230</v>
      </c>
      <c r="U59" s="33">
        <f>67/2</f>
        <v>33.5</v>
      </c>
      <c r="V59" s="33">
        <f t="shared" si="9"/>
        <v>650</v>
      </c>
      <c r="W59" s="33">
        <f>17/2</f>
        <v>8.5</v>
      </c>
      <c r="X59" s="33">
        <f t="shared" si="10"/>
        <v>170</v>
      </c>
      <c r="Y59" s="33">
        <f>141/2</f>
        <v>70.5</v>
      </c>
      <c r="Z59" s="33">
        <f t="shared" si="11"/>
        <v>1380</v>
      </c>
      <c r="AA59" s="33">
        <f>82/2</f>
        <v>41</v>
      </c>
      <c r="AB59" s="33">
        <f t="shared" si="12"/>
        <v>800</v>
      </c>
      <c r="AC59" s="33">
        <f>65/2</f>
        <v>32.5</v>
      </c>
      <c r="AD59" s="33">
        <f t="shared" si="13"/>
        <v>630</v>
      </c>
      <c r="AE59" s="32"/>
      <c r="AF59" s="33">
        <f t="shared" si="14"/>
        <v>13010</v>
      </c>
      <c r="AG59" s="33">
        <v>0</v>
      </c>
      <c r="AH59" s="33">
        <v>0</v>
      </c>
      <c r="AI59" s="32">
        <v>0</v>
      </c>
      <c r="AJ59" s="31">
        <v>347432.79332288011</v>
      </c>
      <c r="AK59" s="31">
        <v>28300.751393551822</v>
      </c>
      <c r="AL59" s="31">
        <v>375733.54471643193</v>
      </c>
      <c r="AM59" s="30" t="s">
        <v>18</v>
      </c>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c r="IW59" s="21"/>
      <c r="IX59" s="21"/>
      <c r="IY59" s="21"/>
      <c r="IZ59" s="21"/>
      <c r="JA59" s="21"/>
      <c r="JB59" s="21"/>
      <c r="JC59" s="21"/>
      <c r="JD59" s="21"/>
      <c r="JE59" s="21"/>
      <c r="JF59" s="21"/>
      <c r="JG59" s="21"/>
      <c r="JH59" s="21"/>
      <c r="JI59" s="21"/>
      <c r="JJ59" s="21"/>
      <c r="JK59" s="21"/>
      <c r="JL59" s="21"/>
      <c r="JM59" s="21"/>
      <c r="JN59" s="21"/>
      <c r="JO59" s="21"/>
      <c r="JP59" s="21"/>
      <c r="JQ59" s="21"/>
      <c r="JR59" s="21"/>
      <c r="JS59" s="21"/>
      <c r="JT59" s="21"/>
      <c r="JU59" s="21"/>
      <c r="JV59" s="21"/>
      <c r="JW59" s="21"/>
      <c r="JX59" s="21"/>
      <c r="JY59" s="21"/>
      <c r="JZ59" s="21"/>
      <c r="KA59" s="21"/>
      <c r="KB59" s="21"/>
      <c r="KC59" s="21"/>
      <c r="KD59" s="21"/>
      <c r="KE59" s="21"/>
      <c r="KF59" s="21"/>
      <c r="KG59" s="21"/>
      <c r="KH59" s="21"/>
      <c r="KI59" s="21"/>
      <c r="KJ59" s="21"/>
      <c r="KK59" s="21"/>
      <c r="KL59" s="21"/>
      <c r="KM59" s="21"/>
      <c r="KN59" s="21"/>
      <c r="KO59" s="21"/>
      <c r="KP59" s="21"/>
      <c r="KQ59" s="21"/>
      <c r="KR59" s="21"/>
      <c r="KS59" s="21"/>
      <c r="KT59" s="21"/>
      <c r="KU59" s="21"/>
      <c r="KV59" s="21"/>
      <c r="KW59" s="21"/>
      <c r="KX59" s="21"/>
      <c r="KY59" s="21"/>
      <c r="KZ59" s="21"/>
      <c r="LA59" s="21"/>
      <c r="LB59" s="21"/>
      <c r="LC59" s="21"/>
      <c r="LD59" s="21"/>
      <c r="LE59" s="21"/>
      <c r="LF59" s="21"/>
      <c r="LG59" s="21"/>
      <c r="LH59" s="21"/>
      <c r="LI59" s="21"/>
      <c r="LJ59" s="21"/>
      <c r="LK59" s="21"/>
      <c r="LL59" s="21"/>
      <c r="LM59" s="21"/>
      <c r="LN59" s="21"/>
      <c r="LO59" s="21"/>
      <c r="LP59" s="21"/>
      <c r="LQ59" s="21"/>
      <c r="LR59" s="21"/>
      <c r="LS59" s="21"/>
      <c r="LT59" s="21"/>
      <c r="LU59" s="21"/>
      <c r="LV59" s="21"/>
      <c r="LW59" s="21"/>
      <c r="LX59" s="21"/>
      <c r="LY59" s="21"/>
      <c r="LZ59" s="21"/>
      <c r="MA59" s="21"/>
      <c r="MB59" s="21"/>
      <c r="MC59" s="21"/>
      <c r="MD59" s="21"/>
      <c r="ME59" s="21"/>
      <c r="MF59" s="21"/>
      <c r="MG59" s="21"/>
      <c r="MH59" s="21"/>
      <c r="MI59" s="21"/>
      <c r="MJ59" s="21"/>
      <c r="MK59" s="21"/>
      <c r="ML59" s="21"/>
      <c r="MM59" s="21"/>
      <c r="MN59" s="21"/>
      <c r="MO59" s="21"/>
      <c r="MP59" s="21"/>
      <c r="MQ59" s="21"/>
      <c r="MR59" s="21"/>
      <c r="MS59" s="21"/>
      <c r="MT59" s="21"/>
      <c r="MU59" s="21"/>
      <c r="MV59" s="21"/>
      <c r="MW59" s="21"/>
      <c r="MX59" s="21"/>
      <c r="MY59" s="21"/>
      <c r="MZ59" s="21"/>
      <c r="NA59" s="21"/>
      <c r="NB59" s="21"/>
      <c r="NC59" s="21"/>
      <c r="ND59" s="21"/>
      <c r="NE59" s="21"/>
      <c r="NF59" s="21"/>
      <c r="NG59" s="21"/>
      <c r="NH59" s="21"/>
      <c r="NI59" s="21"/>
      <c r="NJ59" s="21"/>
      <c r="NK59" s="21"/>
      <c r="NL59" s="21"/>
      <c r="NM59" s="21"/>
      <c r="NN59" s="21"/>
      <c r="NO59" s="21"/>
      <c r="NP59" s="21"/>
      <c r="NQ59" s="21"/>
      <c r="NR59" s="21"/>
      <c r="NS59" s="21"/>
      <c r="NT59" s="21"/>
      <c r="NU59" s="21"/>
      <c r="NV59" s="21"/>
      <c r="NW59" s="21"/>
      <c r="NX59" s="21"/>
      <c r="NY59" s="21"/>
      <c r="NZ59" s="21"/>
      <c r="OA59" s="21"/>
      <c r="OB59" s="21"/>
      <c r="OC59" s="21"/>
      <c r="OD59" s="21"/>
      <c r="OE59" s="21"/>
      <c r="OF59" s="21"/>
      <c r="OG59" s="21"/>
      <c r="OH59" s="21"/>
      <c r="OI59" s="21"/>
      <c r="OJ59" s="21"/>
      <c r="OK59" s="21"/>
      <c r="OL59" s="21"/>
      <c r="OM59" s="21"/>
      <c r="ON59" s="21"/>
      <c r="OO59" s="21"/>
      <c r="OP59" s="21"/>
      <c r="OQ59" s="21"/>
      <c r="OR59" s="21"/>
      <c r="OS59" s="21"/>
      <c r="OT59" s="21"/>
      <c r="OU59" s="21"/>
      <c r="OV59" s="21"/>
      <c r="OW59" s="21"/>
      <c r="OX59" s="21"/>
      <c r="OY59" s="21"/>
      <c r="OZ59" s="21"/>
      <c r="PA59" s="21"/>
      <c r="PB59" s="21"/>
      <c r="PC59" s="21"/>
      <c r="PD59" s="21"/>
      <c r="PE59" s="21"/>
      <c r="PF59" s="21"/>
      <c r="PG59" s="21"/>
      <c r="PH59" s="21"/>
      <c r="PI59" s="21"/>
      <c r="PJ59" s="21"/>
      <c r="PK59" s="21"/>
      <c r="PL59" s="21"/>
      <c r="PM59" s="21"/>
      <c r="PN59" s="21"/>
      <c r="PO59" s="21"/>
      <c r="PP59" s="21"/>
      <c r="PQ59" s="21"/>
      <c r="PR59" s="21"/>
      <c r="PS59" s="21"/>
      <c r="PT59" s="21"/>
      <c r="PU59" s="21"/>
      <c r="PV59" s="21"/>
      <c r="PW59" s="21"/>
      <c r="PX59" s="21"/>
      <c r="PY59" s="21"/>
      <c r="PZ59" s="21"/>
      <c r="QA59" s="21"/>
      <c r="QB59" s="21"/>
      <c r="QC59" s="21"/>
      <c r="QD59" s="21"/>
      <c r="QE59" s="21"/>
      <c r="QF59" s="21"/>
      <c r="QG59" s="21"/>
      <c r="QH59" s="21"/>
      <c r="QI59" s="21"/>
      <c r="QJ59" s="21"/>
      <c r="QK59" s="21"/>
      <c r="QL59" s="21"/>
      <c r="QM59" s="21"/>
      <c r="QN59" s="21"/>
      <c r="QO59" s="21"/>
      <c r="QP59" s="21"/>
      <c r="QQ59" s="21"/>
      <c r="QR59" s="21"/>
      <c r="QS59" s="21"/>
      <c r="QT59" s="21"/>
      <c r="QU59" s="21"/>
      <c r="QV59" s="21"/>
      <c r="QW59" s="21"/>
      <c r="QX59" s="21"/>
      <c r="QY59" s="21"/>
      <c r="QZ59" s="21"/>
      <c r="RA59" s="21"/>
      <c r="RB59" s="21"/>
      <c r="RC59" s="21"/>
      <c r="RD59" s="21"/>
      <c r="RE59" s="21"/>
      <c r="RF59" s="21"/>
      <c r="RG59" s="21"/>
      <c r="RH59" s="21"/>
      <c r="RI59" s="21"/>
      <c r="RJ59" s="21"/>
      <c r="RK59" s="21"/>
      <c r="RL59" s="21"/>
      <c r="RM59" s="21"/>
      <c r="RN59" s="21"/>
      <c r="RO59" s="21"/>
      <c r="RP59" s="21"/>
      <c r="RQ59" s="21"/>
      <c r="RR59" s="21"/>
      <c r="RS59" s="21"/>
      <c r="RT59" s="21"/>
      <c r="RU59" s="21"/>
      <c r="RV59" s="21"/>
      <c r="RW59" s="21"/>
      <c r="RX59" s="21"/>
      <c r="RY59" s="21"/>
      <c r="RZ59" s="21"/>
      <c r="SA59" s="21"/>
      <c r="SB59" s="21"/>
      <c r="SC59" s="21"/>
      <c r="SD59" s="21"/>
      <c r="SE59" s="21"/>
      <c r="SF59" s="21"/>
      <c r="SG59" s="21"/>
      <c r="SH59" s="21"/>
      <c r="SI59" s="21"/>
      <c r="SJ59" s="21"/>
      <c r="SK59" s="21"/>
      <c r="SL59" s="21"/>
      <c r="SM59" s="21"/>
      <c r="SN59" s="21"/>
      <c r="SO59" s="21"/>
      <c r="SP59" s="21"/>
      <c r="SQ59" s="21"/>
      <c r="SR59" s="21"/>
      <c r="SS59" s="21"/>
      <c r="ST59" s="21"/>
      <c r="SU59" s="21"/>
      <c r="SV59" s="21"/>
      <c r="SW59" s="21"/>
      <c r="SX59" s="21"/>
      <c r="SY59" s="21"/>
      <c r="SZ59" s="21"/>
      <c r="TA59" s="21"/>
      <c r="TB59" s="21"/>
      <c r="TC59" s="21"/>
      <c r="TD59" s="21"/>
      <c r="TE59" s="21"/>
      <c r="TF59" s="21"/>
      <c r="TG59" s="21"/>
      <c r="TH59" s="21"/>
      <c r="TI59" s="21"/>
      <c r="TJ59" s="21"/>
      <c r="TK59" s="21"/>
      <c r="TL59" s="21"/>
      <c r="TM59" s="21"/>
      <c r="TN59" s="21"/>
      <c r="TO59" s="21"/>
      <c r="TP59" s="21"/>
      <c r="TQ59" s="21"/>
      <c r="TR59" s="21"/>
      <c r="TS59" s="21"/>
      <c r="TT59" s="21"/>
      <c r="TU59" s="21"/>
      <c r="TV59" s="21"/>
      <c r="TW59" s="21"/>
      <c r="TX59" s="21"/>
      <c r="TY59" s="21"/>
      <c r="TZ59" s="21"/>
      <c r="UA59" s="21"/>
      <c r="UB59" s="21"/>
      <c r="UC59" s="21"/>
      <c r="UD59" s="21"/>
      <c r="UE59" s="21"/>
      <c r="UF59" s="21"/>
      <c r="UG59" s="21"/>
      <c r="UH59" s="21"/>
      <c r="UI59" s="21"/>
      <c r="UJ59" s="21"/>
      <c r="UK59" s="21"/>
      <c r="UL59" s="21"/>
      <c r="UM59" s="21"/>
      <c r="UN59" s="21"/>
      <c r="UO59" s="21"/>
      <c r="UP59" s="21"/>
      <c r="UQ59" s="21"/>
      <c r="UR59" s="21"/>
      <c r="US59" s="21"/>
      <c r="UT59" s="21"/>
      <c r="UU59" s="21"/>
      <c r="UV59" s="21"/>
      <c r="UW59" s="21"/>
      <c r="UX59" s="21"/>
      <c r="UY59" s="21"/>
      <c r="UZ59" s="21"/>
      <c r="VA59" s="21"/>
      <c r="VB59" s="21"/>
      <c r="VC59" s="21"/>
      <c r="VD59" s="21"/>
      <c r="VE59" s="21"/>
      <c r="VF59" s="21"/>
      <c r="VG59" s="21"/>
      <c r="VH59" s="21"/>
      <c r="VI59" s="21"/>
      <c r="VJ59" s="21"/>
      <c r="VK59" s="21"/>
      <c r="VL59" s="21"/>
      <c r="VM59" s="21"/>
      <c r="VN59" s="21"/>
      <c r="VO59" s="21"/>
      <c r="VP59" s="21"/>
      <c r="VQ59" s="21"/>
      <c r="VR59" s="21"/>
      <c r="VS59" s="21"/>
      <c r="VT59" s="21"/>
      <c r="VU59" s="21"/>
      <c r="VV59" s="21"/>
      <c r="VW59" s="21"/>
      <c r="VX59" s="21"/>
      <c r="VY59" s="21"/>
      <c r="VZ59" s="21"/>
      <c r="WA59" s="21"/>
      <c r="WB59" s="21"/>
      <c r="WC59" s="21"/>
      <c r="WD59" s="21"/>
      <c r="WE59" s="21"/>
      <c r="WF59" s="21"/>
      <c r="WG59" s="21"/>
      <c r="WH59" s="21"/>
      <c r="WI59" s="21"/>
      <c r="WJ59" s="21"/>
      <c r="WK59" s="21"/>
      <c r="WL59" s="21"/>
      <c r="WM59" s="21"/>
      <c r="WN59" s="21"/>
      <c r="WO59" s="21"/>
      <c r="WP59" s="21"/>
      <c r="WQ59" s="21"/>
      <c r="WR59" s="21"/>
      <c r="WS59" s="21"/>
      <c r="WT59" s="21"/>
      <c r="WU59" s="21"/>
      <c r="WV59" s="21"/>
      <c r="WW59" s="21"/>
      <c r="WX59" s="21"/>
      <c r="WY59" s="21"/>
      <c r="WZ59" s="21"/>
      <c r="XA59" s="21"/>
      <c r="XB59" s="21"/>
      <c r="XC59" s="21"/>
      <c r="XD59" s="21"/>
      <c r="XE59" s="21"/>
      <c r="XF59" s="21"/>
      <c r="XG59" s="21"/>
      <c r="XH59" s="21"/>
      <c r="XI59" s="21"/>
      <c r="XJ59" s="21"/>
      <c r="XK59" s="21"/>
      <c r="XL59" s="21"/>
      <c r="XM59" s="21"/>
      <c r="XN59" s="21"/>
      <c r="XO59" s="21"/>
      <c r="XP59" s="21"/>
      <c r="XQ59" s="21"/>
      <c r="XR59" s="21"/>
      <c r="XS59" s="21"/>
      <c r="XT59" s="21"/>
      <c r="XU59" s="21"/>
      <c r="XV59" s="21"/>
      <c r="XW59" s="21"/>
      <c r="XX59" s="21"/>
      <c r="XY59" s="21"/>
      <c r="XZ59" s="21"/>
      <c r="YA59" s="21"/>
      <c r="YB59" s="21"/>
      <c r="YC59" s="21"/>
      <c r="YD59" s="21"/>
      <c r="YE59" s="21"/>
      <c r="YF59" s="21"/>
      <c r="YG59" s="21"/>
      <c r="YH59" s="21"/>
      <c r="YI59" s="21"/>
      <c r="YJ59" s="21"/>
      <c r="YK59" s="21"/>
      <c r="YL59" s="21"/>
      <c r="YM59" s="21"/>
      <c r="YN59" s="21"/>
      <c r="YO59" s="21"/>
      <c r="YP59" s="21"/>
      <c r="YQ59" s="21"/>
      <c r="YR59" s="21"/>
      <c r="YS59" s="21"/>
      <c r="YT59" s="21"/>
      <c r="YU59" s="21"/>
      <c r="YV59" s="21"/>
      <c r="YW59" s="21"/>
      <c r="YX59" s="21"/>
      <c r="YY59" s="21"/>
      <c r="YZ59" s="21"/>
      <c r="ZA59" s="21"/>
      <c r="ZB59" s="21"/>
      <c r="ZC59" s="21"/>
      <c r="ZD59" s="21"/>
      <c r="ZE59" s="21"/>
      <c r="ZF59" s="21"/>
      <c r="ZG59" s="21"/>
      <c r="ZH59" s="21"/>
      <c r="ZI59" s="21"/>
      <c r="ZJ59" s="21"/>
      <c r="ZK59" s="21"/>
      <c r="ZL59" s="21"/>
      <c r="ZM59" s="21"/>
      <c r="ZN59" s="21"/>
      <c r="ZO59" s="21"/>
      <c r="ZP59" s="21"/>
      <c r="ZQ59" s="21"/>
      <c r="ZR59" s="21"/>
      <c r="ZS59" s="21"/>
      <c r="ZT59" s="21"/>
      <c r="ZU59" s="21"/>
      <c r="ZV59" s="21"/>
      <c r="ZW59" s="21"/>
      <c r="ZX59" s="21"/>
      <c r="ZY59" s="21"/>
      <c r="ZZ59" s="21"/>
      <c r="AAA59" s="21"/>
      <c r="AAB59" s="21"/>
      <c r="AAC59" s="21"/>
      <c r="AAD59" s="21"/>
      <c r="AAE59" s="21"/>
      <c r="AAF59" s="21"/>
      <c r="AAG59" s="21"/>
      <c r="AAH59" s="21"/>
      <c r="AAI59" s="21"/>
      <c r="AAJ59" s="21"/>
      <c r="AAK59" s="21"/>
      <c r="AAL59" s="21"/>
      <c r="AAM59" s="21"/>
      <c r="AAN59" s="21"/>
      <c r="AAO59" s="21"/>
      <c r="AAP59" s="21"/>
      <c r="AAQ59" s="21"/>
      <c r="AAR59" s="21"/>
      <c r="AAS59" s="21"/>
      <c r="AAT59" s="21"/>
      <c r="AAU59" s="21"/>
      <c r="AAV59" s="21"/>
      <c r="AAW59" s="21"/>
      <c r="AAX59" s="21"/>
      <c r="AAY59" s="21"/>
      <c r="AAZ59" s="21"/>
      <c r="ABA59" s="21"/>
      <c r="ABB59" s="21"/>
      <c r="ABC59" s="21"/>
      <c r="ABD59" s="21"/>
      <c r="ABE59" s="21"/>
      <c r="ABF59" s="21"/>
      <c r="ABG59" s="21"/>
      <c r="ABH59" s="21"/>
      <c r="ABI59" s="21"/>
      <c r="ABJ59" s="21"/>
      <c r="ABK59" s="21"/>
      <c r="ABL59" s="21"/>
      <c r="ABM59" s="21"/>
      <c r="ABN59" s="21"/>
      <c r="ABO59" s="21"/>
      <c r="ABP59" s="21"/>
      <c r="ABQ59" s="21"/>
      <c r="ABR59" s="21"/>
      <c r="ABS59" s="21"/>
      <c r="ABT59" s="21"/>
      <c r="ABU59" s="21"/>
      <c r="ABV59" s="21"/>
      <c r="ABW59" s="21"/>
      <c r="ABX59" s="21"/>
      <c r="ABY59" s="21"/>
      <c r="ABZ59" s="21"/>
      <c r="ACA59" s="21"/>
      <c r="ACB59" s="21"/>
      <c r="ACC59" s="21"/>
      <c r="ACD59" s="21"/>
      <c r="ACE59" s="21"/>
      <c r="ACF59" s="21"/>
      <c r="ACG59" s="21"/>
      <c r="ACH59" s="21"/>
      <c r="ACI59" s="21"/>
      <c r="ACJ59" s="21"/>
      <c r="ACK59" s="21"/>
      <c r="ACL59" s="21"/>
      <c r="ACM59" s="21"/>
      <c r="ACN59" s="21"/>
      <c r="ACO59" s="21"/>
      <c r="ACP59" s="21"/>
      <c r="ACQ59" s="21"/>
      <c r="ACR59" s="21"/>
      <c r="ACS59" s="21"/>
      <c r="ACT59" s="21"/>
      <c r="ACU59" s="21"/>
      <c r="ACV59" s="21"/>
      <c r="ACW59" s="21"/>
      <c r="ACX59" s="21"/>
      <c r="ACY59" s="21"/>
      <c r="ACZ59" s="21"/>
      <c r="ADA59" s="21"/>
      <c r="ADB59" s="21"/>
      <c r="ADC59" s="21"/>
      <c r="ADD59" s="21"/>
      <c r="ADE59" s="21"/>
      <c r="ADF59" s="21"/>
      <c r="ADG59" s="21"/>
      <c r="ADH59" s="21"/>
      <c r="ADI59" s="21"/>
      <c r="ADJ59" s="21"/>
      <c r="ADK59" s="21"/>
      <c r="ADL59" s="21"/>
      <c r="ADM59" s="21"/>
      <c r="ADN59" s="21"/>
      <c r="ADO59" s="21"/>
      <c r="ADP59" s="21"/>
      <c r="ADQ59" s="21"/>
      <c r="ADR59" s="21"/>
      <c r="ADS59" s="21"/>
      <c r="ADT59" s="21"/>
      <c r="ADU59" s="21"/>
      <c r="ADV59" s="21"/>
      <c r="ADW59" s="21"/>
      <c r="ADX59" s="21"/>
      <c r="ADY59" s="21"/>
      <c r="ADZ59" s="21"/>
      <c r="AEA59" s="21"/>
      <c r="AEB59" s="21"/>
      <c r="AEC59" s="21"/>
      <c r="AED59" s="21"/>
      <c r="AEE59" s="21"/>
      <c r="AEF59" s="21"/>
      <c r="AEG59" s="21"/>
    </row>
    <row r="60" spans="1:813" s="93" customFormat="1" ht="105" x14ac:dyDescent="0.25">
      <c r="A60" s="92">
        <v>16</v>
      </c>
      <c r="B60" s="63" t="s">
        <v>375</v>
      </c>
      <c r="C60" s="80" t="s">
        <v>399</v>
      </c>
      <c r="D60" s="63" t="s">
        <v>398</v>
      </c>
      <c r="E60" s="40" t="s">
        <v>397</v>
      </c>
      <c r="F60" s="125">
        <v>16</v>
      </c>
      <c r="G60" s="32">
        <f>1/2</f>
        <v>0.5</v>
      </c>
      <c r="H60" s="33">
        <f t="shared" si="2"/>
        <v>10</v>
      </c>
      <c r="I60" s="32">
        <f>2/2</f>
        <v>1</v>
      </c>
      <c r="J60" s="33">
        <f t="shared" si="3"/>
        <v>20</v>
      </c>
      <c r="K60" s="32">
        <f>10/2</f>
        <v>5</v>
      </c>
      <c r="L60" s="33">
        <f t="shared" si="4"/>
        <v>80</v>
      </c>
      <c r="M60" s="32">
        <f>6/2</f>
        <v>3</v>
      </c>
      <c r="N60" s="33">
        <f t="shared" si="5"/>
        <v>50</v>
      </c>
      <c r="O60" s="32">
        <f>2/2</f>
        <v>1</v>
      </c>
      <c r="P60" s="33">
        <f t="shared" si="6"/>
        <v>20</v>
      </c>
      <c r="Q60" s="32">
        <f>0/2</f>
        <v>0</v>
      </c>
      <c r="R60" s="33">
        <f t="shared" si="7"/>
        <v>0</v>
      </c>
      <c r="S60" s="32">
        <f>4/2</f>
        <v>2</v>
      </c>
      <c r="T60" s="33">
        <f t="shared" si="8"/>
        <v>30</v>
      </c>
      <c r="U60" s="32">
        <f>5/2</f>
        <v>2.5</v>
      </c>
      <c r="V60" s="33">
        <f t="shared" si="9"/>
        <v>40</v>
      </c>
      <c r="W60" s="32">
        <f>4/2</f>
        <v>2</v>
      </c>
      <c r="X60" s="33">
        <f t="shared" si="10"/>
        <v>30</v>
      </c>
      <c r="Y60" s="32">
        <f>2/2</f>
        <v>1</v>
      </c>
      <c r="Z60" s="33">
        <f t="shared" si="11"/>
        <v>20</v>
      </c>
      <c r="AA60" s="32">
        <f>2/2</f>
        <v>1</v>
      </c>
      <c r="AB60" s="33">
        <f t="shared" si="12"/>
        <v>20</v>
      </c>
      <c r="AC60" s="32">
        <f>1/2</f>
        <v>0.5</v>
      </c>
      <c r="AD60" s="33">
        <f t="shared" si="13"/>
        <v>10</v>
      </c>
      <c r="AE60" s="32"/>
      <c r="AF60" s="33">
        <f t="shared" si="14"/>
        <v>330</v>
      </c>
      <c r="AG60" s="33">
        <v>0</v>
      </c>
      <c r="AH60" s="33">
        <v>0</v>
      </c>
      <c r="AI60" s="32">
        <v>0</v>
      </c>
      <c r="AJ60" s="31">
        <v>17974.756216600206</v>
      </c>
      <c r="AK60" s="31">
        <v>1464.1654927862626</v>
      </c>
      <c r="AL60" s="31">
        <v>19438.921709386468</v>
      </c>
      <c r="AM60" s="30" t="s">
        <v>18</v>
      </c>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c r="HO60" s="21"/>
      <c r="HP60" s="21"/>
      <c r="HQ60" s="21"/>
      <c r="HR60" s="21"/>
      <c r="HS60" s="21"/>
      <c r="HT60" s="21"/>
      <c r="HU60" s="21"/>
      <c r="HV60" s="21"/>
      <c r="HW60" s="21"/>
      <c r="HX60" s="21"/>
      <c r="HY60" s="21"/>
      <c r="HZ60" s="21"/>
      <c r="IA60" s="21"/>
      <c r="IB60" s="21"/>
      <c r="IC60" s="21"/>
      <c r="ID60" s="21"/>
      <c r="IE60" s="21"/>
      <c r="IF60" s="21"/>
      <c r="IG60" s="21"/>
      <c r="IH60" s="21"/>
      <c r="II60" s="21"/>
      <c r="IJ60" s="21"/>
      <c r="IK60" s="21"/>
      <c r="IL60" s="21"/>
      <c r="IM60" s="21"/>
      <c r="IN60" s="21"/>
      <c r="IO60" s="21"/>
      <c r="IP60" s="21"/>
      <c r="IQ60" s="21"/>
      <c r="IR60" s="21"/>
      <c r="IS60" s="21"/>
      <c r="IT60" s="21"/>
      <c r="IU60" s="21"/>
      <c r="IV60" s="21"/>
      <c r="IW60" s="21"/>
      <c r="IX60" s="21"/>
      <c r="IY60" s="21"/>
      <c r="IZ60" s="21"/>
      <c r="JA60" s="21"/>
      <c r="JB60" s="21"/>
      <c r="JC60" s="21"/>
      <c r="JD60" s="21"/>
      <c r="JE60" s="21"/>
      <c r="JF60" s="21"/>
      <c r="JG60" s="21"/>
      <c r="JH60" s="21"/>
      <c r="JI60" s="21"/>
      <c r="JJ60" s="21"/>
      <c r="JK60" s="21"/>
      <c r="JL60" s="21"/>
      <c r="JM60" s="21"/>
      <c r="JN60" s="21"/>
      <c r="JO60" s="21"/>
      <c r="JP60" s="21"/>
      <c r="JQ60" s="21"/>
      <c r="JR60" s="21"/>
      <c r="JS60" s="21"/>
      <c r="JT60" s="21"/>
      <c r="JU60" s="21"/>
      <c r="JV60" s="21"/>
      <c r="JW60" s="21"/>
      <c r="JX60" s="21"/>
      <c r="JY60" s="21"/>
      <c r="JZ60" s="21"/>
      <c r="KA60" s="21"/>
      <c r="KB60" s="21"/>
      <c r="KC60" s="21"/>
      <c r="KD60" s="21"/>
      <c r="KE60" s="21"/>
      <c r="KF60" s="21"/>
      <c r="KG60" s="21"/>
      <c r="KH60" s="21"/>
      <c r="KI60" s="21"/>
      <c r="KJ60" s="21"/>
      <c r="KK60" s="21"/>
      <c r="KL60" s="21"/>
      <c r="KM60" s="21"/>
      <c r="KN60" s="21"/>
      <c r="KO60" s="21"/>
      <c r="KP60" s="21"/>
      <c r="KQ60" s="21"/>
      <c r="KR60" s="21"/>
      <c r="KS60" s="21"/>
      <c r="KT60" s="21"/>
      <c r="KU60" s="21"/>
      <c r="KV60" s="21"/>
      <c r="KW60" s="21"/>
      <c r="KX60" s="21"/>
      <c r="KY60" s="21"/>
      <c r="KZ60" s="21"/>
      <c r="LA60" s="21"/>
      <c r="LB60" s="21"/>
      <c r="LC60" s="21"/>
      <c r="LD60" s="21"/>
      <c r="LE60" s="21"/>
      <c r="LF60" s="21"/>
      <c r="LG60" s="21"/>
      <c r="LH60" s="21"/>
      <c r="LI60" s="21"/>
      <c r="LJ60" s="21"/>
      <c r="LK60" s="21"/>
      <c r="LL60" s="21"/>
      <c r="LM60" s="21"/>
      <c r="LN60" s="21"/>
      <c r="LO60" s="21"/>
      <c r="LP60" s="21"/>
      <c r="LQ60" s="21"/>
      <c r="LR60" s="21"/>
      <c r="LS60" s="21"/>
      <c r="LT60" s="21"/>
      <c r="LU60" s="21"/>
      <c r="LV60" s="21"/>
      <c r="LW60" s="21"/>
      <c r="LX60" s="21"/>
      <c r="LY60" s="21"/>
      <c r="LZ60" s="21"/>
      <c r="MA60" s="21"/>
      <c r="MB60" s="21"/>
      <c r="MC60" s="21"/>
      <c r="MD60" s="21"/>
      <c r="ME60" s="21"/>
      <c r="MF60" s="21"/>
      <c r="MG60" s="21"/>
      <c r="MH60" s="21"/>
      <c r="MI60" s="21"/>
      <c r="MJ60" s="21"/>
      <c r="MK60" s="21"/>
      <c r="ML60" s="21"/>
      <c r="MM60" s="21"/>
      <c r="MN60" s="21"/>
      <c r="MO60" s="21"/>
      <c r="MP60" s="21"/>
      <c r="MQ60" s="21"/>
      <c r="MR60" s="21"/>
      <c r="MS60" s="21"/>
      <c r="MT60" s="21"/>
      <c r="MU60" s="21"/>
      <c r="MV60" s="21"/>
      <c r="MW60" s="21"/>
      <c r="MX60" s="21"/>
      <c r="MY60" s="21"/>
      <c r="MZ60" s="21"/>
      <c r="NA60" s="21"/>
      <c r="NB60" s="21"/>
      <c r="NC60" s="21"/>
      <c r="ND60" s="21"/>
      <c r="NE60" s="21"/>
      <c r="NF60" s="21"/>
      <c r="NG60" s="21"/>
      <c r="NH60" s="21"/>
      <c r="NI60" s="21"/>
      <c r="NJ60" s="21"/>
      <c r="NK60" s="21"/>
      <c r="NL60" s="21"/>
      <c r="NM60" s="21"/>
      <c r="NN60" s="21"/>
      <c r="NO60" s="21"/>
      <c r="NP60" s="21"/>
      <c r="NQ60" s="21"/>
      <c r="NR60" s="21"/>
      <c r="NS60" s="21"/>
      <c r="NT60" s="21"/>
      <c r="NU60" s="21"/>
      <c r="NV60" s="21"/>
      <c r="NW60" s="21"/>
      <c r="NX60" s="21"/>
      <c r="NY60" s="21"/>
      <c r="NZ60" s="21"/>
      <c r="OA60" s="21"/>
      <c r="OB60" s="21"/>
      <c r="OC60" s="21"/>
      <c r="OD60" s="21"/>
      <c r="OE60" s="21"/>
      <c r="OF60" s="21"/>
      <c r="OG60" s="21"/>
      <c r="OH60" s="21"/>
      <c r="OI60" s="21"/>
      <c r="OJ60" s="21"/>
      <c r="OK60" s="21"/>
      <c r="OL60" s="21"/>
      <c r="OM60" s="21"/>
      <c r="ON60" s="21"/>
      <c r="OO60" s="21"/>
      <c r="OP60" s="21"/>
      <c r="OQ60" s="21"/>
      <c r="OR60" s="21"/>
      <c r="OS60" s="21"/>
      <c r="OT60" s="21"/>
      <c r="OU60" s="21"/>
      <c r="OV60" s="21"/>
      <c r="OW60" s="21"/>
      <c r="OX60" s="21"/>
      <c r="OY60" s="21"/>
      <c r="OZ60" s="21"/>
      <c r="PA60" s="21"/>
      <c r="PB60" s="21"/>
      <c r="PC60" s="21"/>
      <c r="PD60" s="21"/>
      <c r="PE60" s="21"/>
      <c r="PF60" s="21"/>
      <c r="PG60" s="21"/>
      <c r="PH60" s="21"/>
      <c r="PI60" s="21"/>
      <c r="PJ60" s="21"/>
      <c r="PK60" s="21"/>
      <c r="PL60" s="21"/>
      <c r="PM60" s="21"/>
      <c r="PN60" s="21"/>
      <c r="PO60" s="21"/>
      <c r="PP60" s="21"/>
      <c r="PQ60" s="21"/>
      <c r="PR60" s="21"/>
      <c r="PS60" s="21"/>
      <c r="PT60" s="21"/>
      <c r="PU60" s="21"/>
      <c r="PV60" s="21"/>
      <c r="PW60" s="21"/>
      <c r="PX60" s="21"/>
      <c r="PY60" s="21"/>
      <c r="PZ60" s="21"/>
      <c r="QA60" s="21"/>
      <c r="QB60" s="21"/>
      <c r="QC60" s="21"/>
      <c r="QD60" s="21"/>
      <c r="QE60" s="21"/>
      <c r="QF60" s="21"/>
      <c r="QG60" s="21"/>
      <c r="QH60" s="21"/>
      <c r="QI60" s="21"/>
      <c r="QJ60" s="21"/>
      <c r="QK60" s="21"/>
      <c r="QL60" s="21"/>
      <c r="QM60" s="21"/>
      <c r="QN60" s="21"/>
      <c r="QO60" s="21"/>
      <c r="QP60" s="21"/>
      <c r="QQ60" s="21"/>
      <c r="QR60" s="21"/>
      <c r="QS60" s="21"/>
      <c r="QT60" s="21"/>
      <c r="QU60" s="21"/>
      <c r="QV60" s="21"/>
      <c r="QW60" s="21"/>
      <c r="QX60" s="21"/>
      <c r="QY60" s="21"/>
      <c r="QZ60" s="21"/>
      <c r="RA60" s="21"/>
      <c r="RB60" s="21"/>
      <c r="RC60" s="21"/>
      <c r="RD60" s="21"/>
      <c r="RE60" s="21"/>
      <c r="RF60" s="21"/>
      <c r="RG60" s="21"/>
      <c r="RH60" s="21"/>
      <c r="RI60" s="21"/>
      <c r="RJ60" s="21"/>
      <c r="RK60" s="21"/>
      <c r="RL60" s="21"/>
      <c r="RM60" s="21"/>
      <c r="RN60" s="21"/>
      <c r="RO60" s="21"/>
      <c r="RP60" s="21"/>
      <c r="RQ60" s="21"/>
      <c r="RR60" s="21"/>
      <c r="RS60" s="21"/>
      <c r="RT60" s="21"/>
      <c r="RU60" s="21"/>
      <c r="RV60" s="21"/>
      <c r="RW60" s="21"/>
      <c r="RX60" s="21"/>
      <c r="RY60" s="21"/>
      <c r="RZ60" s="21"/>
      <c r="SA60" s="21"/>
      <c r="SB60" s="21"/>
      <c r="SC60" s="21"/>
      <c r="SD60" s="21"/>
      <c r="SE60" s="21"/>
      <c r="SF60" s="21"/>
      <c r="SG60" s="21"/>
      <c r="SH60" s="21"/>
      <c r="SI60" s="21"/>
      <c r="SJ60" s="21"/>
      <c r="SK60" s="21"/>
      <c r="SL60" s="21"/>
      <c r="SM60" s="21"/>
      <c r="SN60" s="21"/>
      <c r="SO60" s="21"/>
      <c r="SP60" s="21"/>
      <c r="SQ60" s="21"/>
      <c r="SR60" s="21"/>
      <c r="SS60" s="21"/>
      <c r="ST60" s="21"/>
      <c r="SU60" s="21"/>
      <c r="SV60" s="21"/>
      <c r="SW60" s="21"/>
      <c r="SX60" s="21"/>
      <c r="SY60" s="21"/>
      <c r="SZ60" s="21"/>
      <c r="TA60" s="21"/>
      <c r="TB60" s="21"/>
      <c r="TC60" s="21"/>
      <c r="TD60" s="21"/>
      <c r="TE60" s="21"/>
      <c r="TF60" s="21"/>
      <c r="TG60" s="21"/>
      <c r="TH60" s="21"/>
      <c r="TI60" s="21"/>
      <c r="TJ60" s="21"/>
      <c r="TK60" s="21"/>
      <c r="TL60" s="21"/>
      <c r="TM60" s="21"/>
      <c r="TN60" s="21"/>
      <c r="TO60" s="21"/>
      <c r="TP60" s="21"/>
      <c r="TQ60" s="21"/>
      <c r="TR60" s="21"/>
      <c r="TS60" s="21"/>
      <c r="TT60" s="21"/>
      <c r="TU60" s="21"/>
      <c r="TV60" s="21"/>
      <c r="TW60" s="21"/>
      <c r="TX60" s="21"/>
      <c r="TY60" s="21"/>
      <c r="TZ60" s="21"/>
      <c r="UA60" s="21"/>
      <c r="UB60" s="21"/>
      <c r="UC60" s="21"/>
      <c r="UD60" s="21"/>
      <c r="UE60" s="21"/>
      <c r="UF60" s="21"/>
      <c r="UG60" s="21"/>
      <c r="UH60" s="21"/>
      <c r="UI60" s="21"/>
      <c r="UJ60" s="21"/>
      <c r="UK60" s="21"/>
      <c r="UL60" s="21"/>
      <c r="UM60" s="21"/>
      <c r="UN60" s="21"/>
      <c r="UO60" s="21"/>
      <c r="UP60" s="21"/>
      <c r="UQ60" s="21"/>
      <c r="UR60" s="21"/>
      <c r="US60" s="21"/>
      <c r="UT60" s="21"/>
      <c r="UU60" s="21"/>
      <c r="UV60" s="21"/>
      <c r="UW60" s="21"/>
      <c r="UX60" s="21"/>
      <c r="UY60" s="21"/>
      <c r="UZ60" s="21"/>
      <c r="VA60" s="21"/>
      <c r="VB60" s="21"/>
      <c r="VC60" s="21"/>
      <c r="VD60" s="21"/>
      <c r="VE60" s="21"/>
      <c r="VF60" s="21"/>
      <c r="VG60" s="21"/>
      <c r="VH60" s="21"/>
      <c r="VI60" s="21"/>
      <c r="VJ60" s="21"/>
      <c r="VK60" s="21"/>
      <c r="VL60" s="21"/>
      <c r="VM60" s="21"/>
      <c r="VN60" s="21"/>
      <c r="VO60" s="21"/>
      <c r="VP60" s="21"/>
      <c r="VQ60" s="21"/>
      <c r="VR60" s="21"/>
      <c r="VS60" s="21"/>
      <c r="VT60" s="21"/>
      <c r="VU60" s="21"/>
      <c r="VV60" s="21"/>
      <c r="VW60" s="21"/>
      <c r="VX60" s="21"/>
      <c r="VY60" s="21"/>
      <c r="VZ60" s="21"/>
      <c r="WA60" s="21"/>
      <c r="WB60" s="21"/>
      <c r="WC60" s="21"/>
      <c r="WD60" s="21"/>
      <c r="WE60" s="21"/>
      <c r="WF60" s="21"/>
      <c r="WG60" s="21"/>
      <c r="WH60" s="21"/>
      <c r="WI60" s="21"/>
      <c r="WJ60" s="21"/>
      <c r="WK60" s="21"/>
      <c r="WL60" s="21"/>
      <c r="WM60" s="21"/>
      <c r="WN60" s="21"/>
      <c r="WO60" s="21"/>
      <c r="WP60" s="21"/>
      <c r="WQ60" s="21"/>
      <c r="WR60" s="21"/>
      <c r="WS60" s="21"/>
      <c r="WT60" s="21"/>
      <c r="WU60" s="21"/>
      <c r="WV60" s="21"/>
      <c r="WW60" s="21"/>
      <c r="WX60" s="21"/>
      <c r="WY60" s="21"/>
      <c r="WZ60" s="21"/>
      <c r="XA60" s="21"/>
      <c r="XB60" s="21"/>
      <c r="XC60" s="21"/>
      <c r="XD60" s="21"/>
      <c r="XE60" s="21"/>
      <c r="XF60" s="21"/>
      <c r="XG60" s="21"/>
      <c r="XH60" s="21"/>
      <c r="XI60" s="21"/>
      <c r="XJ60" s="21"/>
      <c r="XK60" s="21"/>
      <c r="XL60" s="21"/>
      <c r="XM60" s="21"/>
      <c r="XN60" s="21"/>
      <c r="XO60" s="21"/>
      <c r="XP60" s="21"/>
      <c r="XQ60" s="21"/>
      <c r="XR60" s="21"/>
      <c r="XS60" s="21"/>
      <c r="XT60" s="21"/>
      <c r="XU60" s="21"/>
      <c r="XV60" s="21"/>
      <c r="XW60" s="21"/>
      <c r="XX60" s="21"/>
      <c r="XY60" s="21"/>
      <c r="XZ60" s="21"/>
      <c r="YA60" s="21"/>
      <c r="YB60" s="21"/>
      <c r="YC60" s="21"/>
      <c r="YD60" s="21"/>
      <c r="YE60" s="21"/>
      <c r="YF60" s="21"/>
      <c r="YG60" s="21"/>
      <c r="YH60" s="21"/>
      <c r="YI60" s="21"/>
      <c r="YJ60" s="21"/>
      <c r="YK60" s="21"/>
      <c r="YL60" s="21"/>
      <c r="YM60" s="21"/>
      <c r="YN60" s="21"/>
      <c r="YO60" s="21"/>
      <c r="YP60" s="21"/>
      <c r="YQ60" s="21"/>
      <c r="YR60" s="21"/>
      <c r="YS60" s="21"/>
      <c r="YT60" s="21"/>
      <c r="YU60" s="21"/>
      <c r="YV60" s="21"/>
      <c r="YW60" s="21"/>
      <c r="YX60" s="21"/>
      <c r="YY60" s="21"/>
      <c r="YZ60" s="21"/>
      <c r="ZA60" s="21"/>
      <c r="ZB60" s="21"/>
      <c r="ZC60" s="21"/>
      <c r="ZD60" s="21"/>
      <c r="ZE60" s="21"/>
      <c r="ZF60" s="21"/>
      <c r="ZG60" s="21"/>
      <c r="ZH60" s="21"/>
      <c r="ZI60" s="21"/>
      <c r="ZJ60" s="21"/>
      <c r="ZK60" s="21"/>
      <c r="ZL60" s="21"/>
      <c r="ZM60" s="21"/>
      <c r="ZN60" s="21"/>
      <c r="ZO60" s="21"/>
      <c r="ZP60" s="21"/>
      <c r="ZQ60" s="21"/>
      <c r="ZR60" s="21"/>
      <c r="ZS60" s="21"/>
      <c r="ZT60" s="21"/>
      <c r="ZU60" s="21"/>
      <c r="ZV60" s="21"/>
      <c r="ZW60" s="21"/>
      <c r="ZX60" s="21"/>
      <c r="ZY60" s="21"/>
      <c r="ZZ60" s="21"/>
      <c r="AAA60" s="21"/>
      <c r="AAB60" s="21"/>
      <c r="AAC60" s="21"/>
      <c r="AAD60" s="21"/>
      <c r="AAE60" s="21"/>
      <c r="AAF60" s="21"/>
      <c r="AAG60" s="21"/>
      <c r="AAH60" s="21"/>
      <c r="AAI60" s="21"/>
      <c r="AAJ60" s="21"/>
      <c r="AAK60" s="21"/>
      <c r="AAL60" s="21"/>
      <c r="AAM60" s="21"/>
      <c r="AAN60" s="21"/>
      <c r="AAO60" s="21"/>
      <c r="AAP60" s="21"/>
      <c r="AAQ60" s="21"/>
      <c r="AAR60" s="21"/>
      <c r="AAS60" s="21"/>
      <c r="AAT60" s="21"/>
      <c r="AAU60" s="21"/>
      <c r="AAV60" s="21"/>
      <c r="AAW60" s="21"/>
      <c r="AAX60" s="21"/>
      <c r="AAY60" s="21"/>
      <c r="AAZ60" s="21"/>
      <c r="ABA60" s="21"/>
      <c r="ABB60" s="21"/>
      <c r="ABC60" s="21"/>
      <c r="ABD60" s="21"/>
      <c r="ABE60" s="21"/>
      <c r="ABF60" s="21"/>
      <c r="ABG60" s="21"/>
      <c r="ABH60" s="21"/>
      <c r="ABI60" s="21"/>
      <c r="ABJ60" s="21"/>
      <c r="ABK60" s="21"/>
      <c r="ABL60" s="21"/>
      <c r="ABM60" s="21"/>
      <c r="ABN60" s="21"/>
      <c r="ABO60" s="21"/>
      <c r="ABP60" s="21"/>
      <c r="ABQ60" s="21"/>
      <c r="ABR60" s="21"/>
      <c r="ABS60" s="21"/>
      <c r="ABT60" s="21"/>
      <c r="ABU60" s="21"/>
      <c r="ABV60" s="21"/>
      <c r="ABW60" s="21"/>
      <c r="ABX60" s="21"/>
      <c r="ABY60" s="21"/>
      <c r="ABZ60" s="21"/>
      <c r="ACA60" s="21"/>
      <c r="ACB60" s="21"/>
      <c r="ACC60" s="21"/>
      <c r="ACD60" s="21"/>
      <c r="ACE60" s="21"/>
      <c r="ACF60" s="21"/>
      <c r="ACG60" s="21"/>
      <c r="ACH60" s="21"/>
      <c r="ACI60" s="21"/>
      <c r="ACJ60" s="21"/>
      <c r="ACK60" s="21"/>
      <c r="ACL60" s="21"/>
      <c r="ACM60" s="21"/>
      <c r="ACN60" s="21"/>
      <c r="ACO60" s="21"/>
      <c r="ACP60" s="21"/>
      <c r="ACQ60" s="21"/>
      <c r="ACR60" s="21"/>
      <c r="ACS60" s="21"/>
      <c r="ACT60" s="21"/>
      <c r="ACU60" s="21"/>
      <c r="ACV60" s="21"/>
      <c r="ACW60" s="21"/>
      <c r="ACX60" s="21"/>
      <c r="ACY60" s="21"/>
      <c r="ACZ60" s="21"/>
      <c r="ADA60" s="21"/>
      <c r="ADB60" s="21"/>
      <c r="ADC60" s="21"/>
      <c r="ADD60" s="21"/>
      <c r="ADE60" s="21"/>
      <c r="ADF60" s="21"/>
      <c r="ADG60" s="21"/>
      <c r="ADH60" s="21"/>
      <c r="ADI60" s="21"/>
      <c r="ADJ60" s="21"/>
      <c r="ADK60" s="21"/>
      <c r="ADL60" s="21"/>
      <c r="ADM60" s="21"/>
      <c r="ADN60" s="21"/>
      <c r="ADO60" s="21"/>
      <c r="ADP60" s="21"/>
      <c r="ADQ60" s="21"/>
      <c r="ADR60" s="21"/>
      <c r="ADS60" s="21"/>
      <c r="ADT60" s="21"/>
      <c r="ADU60" s="21"/>
      <c r="ADV60" s="21"/>
      <c r="ADW60" s="21"/>
      <c r="ADX60" s="21"/>
      <c r="ADY60" s="21"/>
      <c r="ADZ60" s="21"/>
      <c r="AEA60" s="21"/>
      <c r="AEB60" s="21"/>
      <c r="AEC60" s="21"/>
      <c r="AED60" s="21"/>
      <c r="AEE60" s="21"/>
      <c r="AEF60" s="21"/>
      <c r="AEG60" s="21"/>
    </row>
    <row r="61" spans="1:813" s="93" customFormat="1" ht="135" x14ac:dyDescent="0.25">
      <c r="A61" s="92">
        <v>17</v>
      </c>
      <c r="B61" s="63" t="s">
        <v>375</v>
      </c>
      <c r="C61" s="80" t="s">
        <v>396</v>
      </c>
      <c r="D61" s="63" t="s">
        <v>395</v>
      </c>
      <c r="E61" s="36" t="s">
        <v>394</v>
      </c>
      <c r="F61" s="111">
        <v>6.3078947368421048</v>
      </c>
      <c r="G61" s="32">
        <f>20/2</f>
        <v>10</v>
      </c>
      <c r="H61" s="33">
        <f t="shared" si="2"/>
        <v>60</v>
      </c>
      <c r="I61" s="32">
        <f>24/2</f>
        <v>12</v>
      </c>
      <c r="J61" s="33">
        <f t="shared" si="3"/>
        <v>80</v>
      </c>
      <c r="K61" s="32">
        <f>20/2</f>
        <v>10</v>
      </c>
      <c r="L61" s="33">
        <f t="shared" si="4"/>
        <v>60</v>
      </c>
      <c r="M61" s="32">
        <f>69/2</f>
        <v>34.5</v>
      </c>
      <c r="N61" s="33">
        <f t="shared" si="5"/>
        <v>220</v>
      </c>
      <c r="O61" s="32">
        <f>40/2</f>
        <v>20</v>
      </c>
      <c r="P61" s="33">
        <f t="shared" si="6"/>
        <v>130</v>
      </c>
      <c r="Q61" s="32">
        <f>29/2</f>
        <v>14.5</v>
      </c>
      <c r="R61" s="33">
        <f t="shared" si="7"/>
        <v>90</v>
      </c>
      <c r="S61" s="32">
        <f>55/2</f>
        <v>27.5</v>
      </c>
      <c r="T61" s="33">
        <f t="shared" si="8"/>
        <v>170</v>
      </c>
      <c r="U61" s="32">
        <f>29/2</f>
        <v>14.5</v>
      </c>
      <c r="V61" s="33">
        <f t="shared" si="9"/>
        <v>90</v>
      </c>
      <c r="W61" s="32">
        <f>5/2</f>
        <v>2.5</v>
      </c>
      <c r="X61" s="33">
        <f t="shared" si="10"/>
        <v>20</v>
      </c>
      <c r="Y61" s="32">
        <f>19/2</f>
        <v>9.5</v>
      </c>
      <c r="Z61" s="33">
        <f t="shared" si="11"/>
        <v>60</v>
      </c>
      <c r="AA61" s="32">
        <f>23/2</f>
        <v>11.5</v>
      </c>
      <c r="AB61" s="33">
        <f t="shared" si="12"/>
        <v>70</v>
      </c>
      <c r="AC61" s="32">
        <f>11/2</f>
        <v>5.5</v>
      </c>
      <c r="AD61" s="33">
        <f t="shared" si="13"/>
        <v>30</v>
      </c>
      <c r="AE61" s="32"/>
      <c r="AF61" s="33">
        <f t="shared" si="14"/>
        <v>1080</v>
      </c>
      <c r="AG61" s="33">
        <v>0</v>
      </c>
      <c r="AH61" s="33">
        <v>0</v>
      </c>
      <c r="AI61" s="32">
        <v>0</v>
      </c>
      <c r="AJ61" s="31">
        <v>61719.308291680558</v>
      </c>
      <c r="AK61" s="31">
        <v>5027.4551905109538</v>
      </c>
      <c r="AL61" s="31">
        <v>66746.763482191513</v>
      </c>
      <c r="AM61" s="30" t="s">
        <v>18</v>
      </c>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21"/>
      <c r="FT61" s="21"/>
      <c r="FU61" s="21"/>
      <c r="FV61" s="21"/>
      <c r="FW61" s="21"/>
      <c r="FX61" s="21"/>
      <c r="FY61" s="21"/>
      <c r="FZ61" s="21"/>
      <c r="GA61" s="21"/>
      <c r="GB61" s="21"/>
      <c r="GC61" s="21"/>
      <c r="GD61" s="21"/>
      <c r="GE61" s="21"/>
      <c r="GF61" s="21"/>
      <c r="GG61" s="21"/>
      <c r="GH61" s="21"/>
      <c r="GI61" s="21"/>
      <c r="GJ61" s="21"/>
      <c r="GK61" s="21"/>
      <c r="GL61" s="21"/>
      <c r="GM61" s="21"/>
      <c r="GN61" s="21"/>
      <c r="GO61" s="21"/>
      <c r="GP61" s="21"/>
      <c r="GQ61" s="21"/>
      <c r="GR61" s="21"/>
      <c r="GS61" s="21"/>
      <c r="GT61" s="21"/>
      <c r="GU61" s="21"/>
      <c r="GV61" s="21"/>
      <c r="GW61" s="21"/>
      <c r="GX61" s="21"/>
      <c r="GY61" s="21"/>
      <c r="GZ61" s="21"/>
      <c r="HA61" s="21"/>
      <c r="HB61" s="21"/>
      <c r="HC61" s="21"/>
      <c r="HD61" s="21"/>
      <c r="HE61" s="21"/>
      <c r="HF61" s="21"/>
      <c r="HG61" s="21"/>
      <c r="HH61" s="21"/>
      <c r="HI61" s="21"/>
      <c r="HJ61" s="21"/>
      <c r="HK61" s="21"/>
      <c r="HL61" s="21"/>
      <c r="HM61" s="21"/>
      <c r="HN61" s="21"/>
      <c r="HO61" s="21"/>
      <c r="HP61" s="21"/>
      <c r="HQ61" s="21"/>
      <c r="HR61" s="21"/>
      <c r="HS61" s="21"/>
      <c r="HT61" s="21"/>
      <c r="HU61" s="21"/>
      <c r="HV61" s="21"/>
      <c r="HW61" s="21"/>
      <c r="HX61" s="21"/>
      <c r="HY61" s="21"/>
      <c r="HZ61" s="21"/>
      <c r="IA61" s="21"/>
      <c r="IB61" s="21"/>
      <c r="IC61" s="21"/>
      <c r="ID61" s="21"/>
      <c r="IE61" s="21"/>
      <c r="IF61" s="21"/>
      <c r="IG61" s="21"/>
      <c r="IH61" s="21"/>
      <c r="II61" s="21"/>
      <c r="IJ61" s="21"/>
      <c r="IK61" s="21"/>
      <c r="IL61" s="21"/>
      <c r="IM61" s="21"/>
      <c r="IN61" s="21"/>
      <c r="IO61" s="21"/>
      <c r="IP61" s="21"/>
      <c r="IQ61" s="21"/>
      <c r="IR61" s="21"/>
      <c r="IS61" s="21"/>
      <c r="IT61" s="21"/>
      <c r="IU61" s="21"/>
      <c r="IV61" s="21"/>
      <c r="IW61" s="21"/>
      <c r="IX61" s="21"/>
      <c r="IY61" s="21"/>
      <c r="IZ61" s="21"/>
      <c r="JA61" s="21"/>
      <c r="JB61" s="21"/>
      <c r="JC61" s="21"/>
      <c r="JD61" s="21"/>
      <c r="JE61" s="21"/>
      <c r="JF61" s="21"/>
      <c r="JG61" s="21"/>
      <c r="JH61" s="21"/>
      <c r="JI61" s="21"/>
      <c r="JJ61" s="21"/>
      <c r="JK61" s="21"/>
      <c r="JL61" s="21"/>
      <c r="JM61" s="21"/>
      <c r="JN61" s="21"/>
      <c r="JO61" s="21"/>
      <c r="JP61" s="21"/>
      <c r="JQ61" s="21"/>
      <c r="JR61" s="21"/>
      <c r="JS61" s="21"/>
      <c r="JT61" s="21"/>
      <c r="JU61" s="21"/>
      <c r="JV61" s="21"/>
      <c r="JW61" s="21"/>
      <c r="JX61" s="21"/>
      <c r="JY61" s="21"/>
      <c r="JZ61" s="21"/>
      <c r="KA61" s="21"/>
      <c r="KB61" s="21"/>
      <c r="KC61" s="21"/>
      <c r="KD61" s="21"/>
      <c r="KE61" s="21"/>
      <c r="KF61" s="21"/>
      <c r="KG61" s="21"/>
      <c r="KH61" s="21"/>
      <c r="KI61" s="21"/>
      <c r="KJ61" s="21"/>
      <c r="KK61" s="21"/>
      <c r="KL61" s="21"/>
      <c r="KM61" s="21"/>
      <c r="KN61" s="21"/>
      <c r="KO61" s="21"/>
      <c r="KP61" s="21"/>
      <c r="KQ61" s="21"/>
      <c r="KR61" s="21"/>
      <c r="KS61" s="21"/>
      <c r="KT61" s="21"/>
      <c r="KU61" s="21"/>
      <c r="KV61" s="21"/>
      <c r="KW61" s="21"/>
      <c r="KX61" s="21"/>
      <c r="KY61" s="21"/>
      <c r="KZ61" s="21"/>
      <c r="LA61" s="21"/>
      <c r="LB61" s="21"/>
      <c r="LC61" s="21"/>
      <c r="LD61" s="21"/>
      <c r="LE61" s="21"/>
      <c r="LF61" s="21"/>
      <c r="LG61" s="21"/>
      <c r="LH61" s="21"/>
      <c r="LI61" s="21"/>
      <c r="LJ61" s="21"/>
      <c r="LK61" s="21"/>
      <c r="LL61" s="21"/>
      <c r="LM61" s="21"/>
      <c r="LN61" s="21"/>
      <c r="LO61" s="21"/>
      <c r="LP61" s="21"/>
      <c r="LQ61" s="21"/>
      <c r="LR61" s="21"/>
      <c r="LS61" s="21"/>
      <c r="LT61" s="21"/>
      <c r="LU61" s="21"/>
      <c r="LV61" s="21"/>
      <c r="LW61" s="21"/>
      <c r="LX61" s="21"/>
      <c r="LY61" s="21"/>
      <c r="LZ61" s="21"/>
      <c r="MA61" s="21"/>
      <c r="MB61" s="21"/>
      <c r="MC61" s="21"/>
      <c r="MD61" s="21"/>
      <c r="ME61" s="21"/>
      <c r="MF61" s="21"/>
      <c r="MG61" s="21"/>
      <c r="MH61" s="21"/>
      <c r="MI61" s="21"/>
      <c r="MJ61" s="21"/>
      <c r="MK61" s="21"/>
      <c r="ML61" s="21"/>
      <c r="MM61" s="21"/>
      <c r="MN61" s="21"/>
      <c r="MO61" s="21"/>
      <c r="MP61" s="21"/>
      <c r="MQ61" s="21"/>
      <c r="MR61" s="21"/>
      <c r="MS61" s="21"/>
      <c r="MT61" s="21"/>
      <c r="MU61" s="21"/>
      <c r="MV61" s="21"/>
      <c r="MW61" s="21"/>
      <c r="MX61" s="21"/>
      <c r="MY61" s="21"/>
      <c r="MZ61" s="21"/>
      <c r="NA61" s="21"/>
      <c r="NB61" s="21"/>
      <c r="NC61" s="21"/>
      <c r="ND61" s="21"/>
      <c r="NE61" s="21"/>
      <c r="NF61" s="21"/>
      <c r="NG61" s="21"/>
      <c r="NH61" s="21"/>
      <c r="NI61" s="21"/>
      <c r="NJ61" s="21"/>
      <c r="NK61" s="21"/>
      <c r="NL61" s="21"/>
      <c r="NM61" s="21"/>
      <c r="NN61" s="21"/>
      <c r="NO61" s="21"/>
      <c r="NP61" s="21"/>
      <c r="NQ61" s="21"/>
      <c r="NR61" s="21"/>
      <c r="NS61" s="21"/>
      <c r="NT61" s="21"/>
      <c r="NU61" s="21"/>
      <c r="NV61" s="21"/>
      <c r="NW61" s="21"/>
      <c r="NX61" s="21"/>
      <c r="NY61" s="21"/>
      <c r="NZ61" s="21"/>
      <c r="OA61" s="21"/>
      <c r="OB61" s="21"/>
      <c r="OC61" s="21"/>
      <c r="OD61" s="21"/>
      <c r="OE61" s="21"/>
      <c r="OF61" s="21"/>
      <c r="OG61" s="21"/>
      <c r="OH61" s="21"/>
      <c r="OI61" s="21"/>
      <c r="OJ61" s="21"/>
      <c r="OK61" s="21"/>
      <c r="OL61" s="21"/>
      <c r="OM61" s="21"/>
      <c r="ON61" s="21"/>
      <c r="OO61" s="21"/>
      <c r="OP61" s="21"/>
      <c r="OQ61" s="21"/>
      <c r="OR61" s="21"/>
      <c r="OS61" s="21"/>
      <c r="OT61" s="21"/>
      <c r="OU61" s="21"/>
      <c r="OV61" s="21"/>
      <c r="OW61" s="21"/>
      <c r="OX61" s="21"/>
      <c r="OY61" s="21"/>
      <c r="OZ61" s="21"/>
      <c r="PA61" s="21"/>
      <c r="PB61" s="21"/>
      <c r="PC61" s="21"/>
      <c r="PD61" s="21"/>
      <c r="PE61" s="21"/>
      <c r="PF61" s="21"/>
      <c r="PG61" s="21"/>
      <c r="PH61" s="21"/>
      <c r="PI61" s="21"/>
      <c r="PJ61" s="21"/>
      <c r="PK61" s="21"/>
      <c r="PL61" s="21"/>
      <c r="PM61" s="21"/>
      <c r="PN61" s="21"/>
      <c r="PO61" s="21"/>
      <c r="PP61" s="21"/>
      <c r="PQ61" s="21"/>
      <c r="PR61" s="21"/>
      <c r="PS61" s="21"/>
      <c r="PT61" s="21"/>
      <c r="PU61" s="21"/>
      <c r="PV61" s="21"/>
      <c r="PW61" s="21"/>
      <c r="PX61" s="21"/>
      <c r="PY61" s="21"/>
      <c r="PZ61" s="21"/>
      <c r="QA61" s="21"/>
      <c r="QB61" s="21"/>
      <c r="QC61" s="21"/>
      <c r="QD61" s="21"/>
      <c r="QE61" s="21"/>
      <c r="QF61" s="21"/>
      <c r="QG61" s="21"/>
      <c r="QH61" s="21"/>
      <c r="QI61" s="21"/>
      <c r="QJ61" s="21"/>
      <c r="QK61" s="21"/>
      <c r="QL61" s="21"/>
      <c r="QM61" s="21"/>
      <c r="QN61" s="21"/>
      <c r="QO61" s="21"/>
      <c r="QP61" s="21"/>
      <c r="QQ61" s="21"/>
      <c r="QR61" s="21"/>
      <c r="QS61" s="21"/>
      <c r="QT61" s="21"/>
      <c r="QU61" s="21"/>
      <c r="QV61" s="21"/>
      <c r="QW61" s="21"/>
      <c r="QX61" s="21"/>
      <c r="QY61" s="21"/>
      <c r="QZ61" s="21"/>
      <c r="RA61" s="21"/>
      <c r="RB61" s="21"/>
      <c r="RC61" s="21"/>
      <c r="RD61" s="21"/>
      <c r="RE61" s="21"/>
      <c r="RF61" s="21"/>
      <c r="RG61" s="21"/>
      <c r="RH61" s="21"/>
      <c r="RI61" s="21"/>
      <c r="RJ61" s="21"/>
      <c r="RK61" s="21"/>
      <c r="RL61" s="21"/>
      <c r="RM61" s="21"/>
      <c r="RN61" s="21"/>
      <c r="RO61" s="21"/>
      <c r="RP61" s="21"/>
      <c r="RQ61" s="21"/>
      <c r="RR61" s="21"/>
      <c r="RS61" s="21"/>
      <c r="RT61" s="21"/>
      <c r="RU61" s="21"/>
      <c r="RV61" s="21"/>
      <c r="RW61" s="21"/>
      <c r="RX61" s="21"/>
      <c r="RY61" s="21"/>
      <c r="RZ61" s="21"/>
      <c r="SA61" s="21"/>
      <c r="SB61" s="21"/>
      <c r="SC61" s="21"/>
      <c r="SD61" s="21"/>
      <c r="SE61" s="21"/>
      <c r="SF61" s="21"/>
      <c r="SG61" s="21"/>
      <c r="SH61" s="21"/>
      <c r="SI61" s="21"/>
      <c r="SJ61" s="21"/>
      <c r="SK61" s="21"/>
      <c r="SL61" s="21"/>
      <c r="SM61" s="21"/>
      <c r="SN61" s="21"/>
      <c r="SO61" s="21"/>
      <c r="SP61" s="21"/>
      <c r="SQ61" s="21"/>
      <c r="SR61" s="21"/>
      <c r="SS61" s="21"/>
      <c r="ST61" s="21"/>
      <c r="SU61" s="21"/>
      <c r="SV61" s="21"/>
      <c r="SW61" s="21"/>
      <c r="SX61" s="21"/>
      <c r="SY61" s="21"/>
      <c r="SZ61" s="21"/>
      <c r="TA61" s="21"/>
      <c r="TB61" s="21"/>
      <c r="TC61" s="21"/>
      <c r="TD61" s="21"/>
      <c r="TE61" s="21"/>
      <c r="TF61" s="21"/>
      <c r="TG61" s="21"/>
      <c r="TH61" s="21"/>
      <c r="TI61" s="21"/>
      <c r="TJ61" s="21"/>
      <c r="TK61" s="21"/>
      <c r="TL61" s="21"/>
      <c r="TM61" s="21"/>
      <c r="TN61" s="21"/>
      <c r="TO61" s="21"/>
      <c r="TP61" s="21"/>
      <c r="TQ61" s="21"/>
      <c r="TR61" s="21"/>
      <c r="TS61" s="21"/>
      <c r="TT61" s="21"/>
      <c r="TU61" s="21"/>
      <c r="TV61" s="21"/>
      <c r="TW61" s="21"/>
      <c r="TX61" s="21"/>
      <c r="TY61" s="21"/>
      <c r="TZ61" s="21"/>
      <c r="UA61" s="21"/>
      <c r="UB61" s="21"/>
      <c r="UC61" s="21"/>
      <c r="UD61" s="21"/>
      <c r="UE61" s="21"/>
      <c r="UF61" s="21"/>
      <c r="UG61" s="21"/>
      <c r="UH61" s="21"/>
      <c r="UI61" s="21"/>
      <c r="UJ61" s="21"/>
      <c r="UK61" s="21"/>
      <c r="UL61" s="21"/>
      <c r="UM61" s="21"/>
      <c r="UN61" s="21"/>
      <c r="UO61" s="21"/>
      <c r="UP61" s="21"/>
      <c r="UQ61" s="21"/>
      <c r="UR61" s="21"/>
      <c r="US61" s="21"/>
      <c r="UT61" s="21"/>
      <c r="UU61" s="21"/>
      <c r="UV61" s="21"/>
      <c r="UW61" s="21"/>
      <c r="UX61" s="21"/>
      <c r="UY61" s="21"/>
      <c r="UZ61" s="21"/>
      <c r="VA61" s="21"/>
      <c r="VB61" s="21"/>
      <c r="VC61" s="21"/>
      <c r="VD61" s="21"/>
      <c r="VE61" s="21"/>
      <c r="VF61" s="21"/>
      <c r="VG61" s="21"/>
      <c r="VH61" s="21"/>
      <c r="VI61" s="21"/>
      <c r="VJ61" s="21"/>
      <c r="VK61" s="21"/>
      <c r="VL61" s="21"/>
      <c r="VM61" s="21"/>
      <c r="VN61" s="21"/>
      <c r="VO61" s="21"/>
      <c r="VP61" s="21"/>
      <c r="VQ61" s="21"/>
      <c r="VR61" s="21"/>
      <c r="VS61" s="21"/>
      <c r="VT61" s="21"/>
      <c r="VU61" s="21"/>
      <c r="VV61" s="21"/>
      <c r="VW61" s="21"/>
      <c r="VX61" s="21"/>
      <c r="VY61" s="21"/>
      <c r="VZ61" s="21"/>
      <c r="WA61" s="21"/>
      <c r="WB61" s="21"/>
      <c r="WC61" s="21"/>
      <c r="WD61" s="21"/>
      <c r="WE61" s="21"/>
      <c r="WF61" s="21"/>
      <c r="WG61" s="21"/>
      <c r="WH61" s="21"/>
      <c r="WI61" s="21"/>
      <c r="WJ61" s="21"/>
      <c r="WK61" s="21"/>
      <c r="WL61" s="21"/>
      <c r="WM61" s="21"/>
      <c r="WN61" s="21"/>
      <c r="WO61" s="21"/>
      <c r="WP61" s="21"/>
      <c r="WQ61" s="21"/>
      <c r="WR61" s="21"/>
      <c r="WS61" s="21"/>
      <c r="WT61" s="21"/>
      <c r="WU61" s="21"/>
      <c r="WV61" s="21"/>
      <c r="WW61" s="21"/>
      <c r="WX61" s="21"/>
      <c r="WY61" s="21"/>
      <c r="WZ61" s="21"/>
      <c r="XA61" s="21"/>
      <c r="XB61" s="21"/>
      <c r="XC61" s="21"/>
      <c r="XD61" s="21"/>
      <c r="XE61" s="21"/>
      <c r="XF61" s="21"/>
      <c r="XG61" s="21"/>
      <c r="XH61" s="21"/>
      <c r="XI61" s="21"/>
      <c r="XJ61" s="21"/>
      <c r="XK61" s="21"/>
      <c r="XL61" s="21"/>
      <c r="XM61" s="21"/>
      <c r="XN61" s="21"/>
      <c r="XO61" s="21"/>
      <c r="XP61" s="21"/>
      <c r="XQ61" s="21"/>
      <c r="XR61" s="21"/>
      <c r="XS61" s="21"/>
      <c r="XT61" s="21"/>
      <c r="XU61" s="21"/>
      <c r="XV61" s="21"/>
      <c r="XW61" s="21"/>
      <c r="XX61" s="21"/>
      <c r="XY61" s="21"/>
      <c r="XZ61" s="21"/>
      <c r="YA61" s="21"/>
      <c r="YB61" s="21"/>
      <c r="YC61" s="21"/>
      <c r="YD61" s="21"/>
      <c r="YE61" s="21"/>
      <c r="YF61" s="21"/>
      <c r="YG61" s="21"/>
      <c r="YH61" s="21"/>
      <c r="YI61" s="21"/>
      <c r="YJ61" s="21"/>
      <c r="YK61" s="21"/>
      <c r="YL61" s="21"/>
      <c r="YM61" s="21"/>
      <c r="YN61" s="21"/>
      <c r="YO61" s="21"/>
      <c r="YP61" s="21"/>
      <c r="YQ61" s="21"/>
      <c r="YR61" s="21"/>
      <c r="YS61" s="21"/>
      <c r="YT61" s="21"/>
      <c r="YU61" s="21"/>
      <c r="YV61" s="21"/>
      <c r="YW61" s="21"/>
      <c r="YX61" s="21"/>
      <c r="YY61" s="21"/>
      <c r="YZ61" s="21"/>
      <c r="ZA61" s="21"/>
      <c r="ZB61" s="21"/>
      <c r="ZC61" s="21"/>
      <c r="ZD61" s="21"/>
      <c r="ZE61" s="21"/>
      <c r="ZF61" s="21"/>
      <c r="ZG61" s="21"/>
      <c r="ZH61" s="21"/>
      <c r="ZI61" s="21"/>
      <c r="ZJ61" s="21"/>
      <c r="ZK61" s="21"/>
      <c r="ZL61" s="21"/>
      <c r="ZM61" s="21"/>
      <c r="ZN61" s="21"/>
      <c r="ZO61" s="21"/>
      <c r="ZP61" s="21"/>
      <c r="ZQ61" s="21"/>
      <c r="ZR61" s="21"/>
      <c r="ZS61" s="21"/>
      <c r="ZT61" s="21"/>
      <c r="ZU61" s="21"/>
      <c r="ZV61" s="21"/>
      <c r="ZW61" s="21"/>
      <c r="ZX61" s="21"/>
      <c r="ZY61" s="21"/>
      <c r="ZZ61" s="21"/>
      <c r="AAA61" s="21"/>
      <c r="AAB61" s="21"/>
      <c r="AAC61" s="21"/>
      <c r="AAD61" s="21"/>
      <c r="AAE61" s="21"/>
      <c r="AAF61" s="21"/>
      <c r="AAG61" s="21"/>
      <c r="AAH61" s="21"/>
      <c r="AAI61" s="21"/>
      <c r="AAJ61" s="21"/>
      <c r="AAK61" s="21"/>
      <c r="AAL61" s="21"/>
      <c r="AAM61" s="21"/>
      <c r="AAN61" s="21"/>
      <c r="AAO61" s="21"/>
      <c r="AAP61" s="21"/>
      <c r="AAQ61" s="21"/>
      <c r="AAR61" s="21"/>
      <c r="AAS61" s="21"/>
      <c r="AAT61" s="21"/>
      <c r="AAU61" s="21"/>
      <c r="AAV61" s="21"/>
      <c r="AAW61" s="21"/>
      <c r="AAX61" s="21"/>
      <c r="AAY61" s="21"/>
      <c r="AAZ61" s="21"/>
      <c r="ABA61" s="21"/>
      <c r="ABB61" s="21"/>
      <c r="ABC61" s="21"/>
      <c r="ABD61" s="21"/>
      <c r="ABE61" s="21"/>
      <c r="ABF61" s="21"/>
      <c r="ABG61" s="21"/>
      <c r="ABH61" s="21"/>
      <c r="ABI61" s="21"/>
      <c r="ABJ61" s="21"/>
      <c r="ABK61" s="21"/>
      <c r="ABL61" s="21"/>
      <c r="ABM61" s="21"/>
      <c r="ABN61" s="21"/>
      <c r="ABO61" s="21"/>
      <c r="ABP61" s="21"/>
      <c r="ABQ61" s="21"/>
      <c r="ABR61" s="21"/>
      <c r="ABS61" s="21"/>
      <c r="ABT61" s="21"/>
      <c r="ABU61" s="21"/>
      <c r="ABV61" s="21"/>
      <c r="ABW61" s="21"/>
      <c r="ABX61" s="21"/>
      <c r="ABY61" s="21"/>
      <c r="ABZ61" s="21"/>
      <c r="ACA61" s="21"/>
      <c r="ACB61" s="21"/>
      <c r="ACC61" s="21"/>
      <c r="ACD61" s="21"/>
      <c r="ACE61" s="21"/>
      <c r="ACF61" s="21"/>
      <c r="ACG61" s="21"/>
      <c r="ACH61" s="21"/>
      <c r="ACI61" s="21"/>
      <c r="ACJ61" s="21"/>
      <c r="ACK61" s="21"/>
      <c r="ACL61" s="21"/>
      <c r="ACM61" s="21"/>
      <c r="ACN61" s="21"/>
      <c r="ACO61" s="21"/>
      <c r="ACP61" s="21"/>
      <c r="ACQ61" s="21"/>
      <c r="ACR61" s="21"/>
      <c r="ACS61" s="21"/>
      <c r="ACT61" s="21"/>
      <c r="ACU61" s="21"/>
      <c r="ACV61" s="21"/>
      <c r="ACW61" s="21"/>
      <c r="ACX61" s="21"/>
      <c r="ACY61" s="21"/>
      <c r="ACZ61" s="21"/>
      <c r="ADA61" s="21"/>
      <c r="ADB61" s="21"/>
      <c r="ADC61" s="21"/>
      <c r="ADD61" s="21"/>
      <c r="ADE61" s="21"/>
      <c r="ADF61" s="21"/>
      <c r="ADG61" s="21"/>
      <c r="ADH61" s="21"/>
      <c r="ADI61" s="21"/>
      <c r="ADJ61" s="21"/>
      <c r="ADK61" s="21"/>
      <c r="ADL61" s="21"/>
      <c r="ADM61" s="21"/>
      <c r="ADN61" s="21"/>
      <c r="ADO61" s="21"/>
      <c r="ADP61" s="21"/>
      <c r="ADQ61" s="21"/>
      <c r="ADR61" s="21"/>
      <c r="ADS61" s="21"/>
      <c r="ADT61" s="21"/>
      <c r="ADU61" s="21"/>
      <c r="ADV61" s="21"/>
      <c r="ADW61" s="21"/>
      <c r="ADX61" s="21"/>
      <c r="ADY61" s="21"/>
      <c r="ADZ61" s="21"/>
      <c r="AEA61" s="21"/>
      <c r="AEB61" s="21"/>
      <c r="AEC61" s="21"/>
      <c r="AED61" s="21"/>
      <c r="AEE61" s="21"/>
      <c r="AEF61" s="21"/>
      <c r="AEG61" s="21"/>
    </row>
    <row r="62" spans="1:813" s="93" customFormat="1" ht="150" x14ac:dyDescent="0.25">
      <c r="A62" s="92">
        <v>18</v>
      </c>
      <c r="B62" s="63" t="s">
        <v>375</v>
      </c>
      <c r="C62" s="80" t="s">
        <v>393</v>
      </c>
      <c r="D62" s="63" t="s">
        <v>392</v>
      </c>
      <c r="E62" s="40" t="s">
        <v>391</v>
      </c>
      <c r="F62" s="125">
        <v>49.875</v>
      </c>
      <c r="G62" s="32">
        <f>8/2</f>
        <v>4</v>
      </c>
      <c r="H62" s="33">
        <f t="shared" si="2"/>
        <v>200</v>
      </c>
      <c r="I62" s="32">
        <f>8/2</f>
        <v>4</v>
      </c>
      <c r="J62" s="33">
        <f t="shared" si="3"/>
        <v>200</v>
      </c>
      <c r="K62" s="32">
        <f>23/2</f>
        <v>11.5</v>
      </c>
      <c r="L62" s="33">
        <f t="shared" si="4"/>
        <v>570</v>
      </c>
      <c r="M62" s="32">
        <f>20/2</f>
        <v>10</v>
      </c>
      <c r="N62" s="33">
        <f t="shared" si="5"/>
        <v>500</v>
      </c>
      <c r="O62" s="32">
        <f>7/2</f>
        <v>3.5</v>
      </c>
      <c r="P62" s="33">
        <f t="shared" si="6"/>
        <v>170</v>
      </c>
      <c r="Q62" s="32">
        <f>1/2</f>
        <v>0.5</v>
      </c>
      <c r="R62" s="33">
        <f t="shared" si="7"/>
        <v>20</v>
      </c>
      <c r="S62" s="32">
        <f>1/2</f>
        <v>0.5</v>
      </c>
      <c r="T62" s="33">
        <f t="shared" si="8"/>
        <v>20</v>
      </c>
      <c r="U62" s="32">
        <f>5/2</f>
        <v>2.5</v>
      </c>
      <c r="V62" s="33">
        <f t="shared" si="9"/>
        <v>120</v>
      </c>
      <c r="W62" s="32">
        <v>0</v>
      </c>
      <c r="X62" s="33">
        <f t="shared" si="10"/>
        <v>0</v>
      </c>
      <c r="Y62" s="32">
        <f>8/2</f>
        <v>4</v>
      </c>
      <c r="Z62" s="33">
        <f t="shared" si="11"/>
        <v>200</v>
      </c>
      <c r="AA62" s="32">
        <f>1/2</f>
        <v>0.5</v>
      </c>
      <c r="AB62" s="33">
        <f t="shared" si="12"/>
        <v>20</v>
      </c>
      <c r="AC62" s="32">
        <v>0</v>
      </c>
      <c r="AD62" s="33">
        <f t="shared" si="13"/>
        <v>0</v>
      </c>
      <c r="AE62" s="32"/>
      <c r="AF62" s="33">
        <f t="shared" si="14"/>
        <v>2020</v>
      </c>
      <c r="AG62" s="33">
        <v>0</v>
      </c>
      <c r="AH62" s="33">
        <v>0</v>
      </c>
      <c r="AI62" s="32">
        <v>0</v>
      </c>
      <c r="AJ62" s="31">
        <v>127083.75960231345</v>
      </c>
      <c r="AK62" s="31">
        <v>10351.831939250986</v>
      </c>
      <c r="AL62" s="31">
        <v>137435.59154156444</v>
      </c>
      <c r="AM62" s="30" t="s">
        <v>18</v>
      </c>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c r="IW62" s="21"/>
      <c r="IX62" s="21"/>
      <c r="IY62" s="21"/>
      <c r="IZ62" s="21"/>
      <c r="JA62" s="21"/>
      <c r="JB62" s="21"/>
      <c r="JC62" s="21"/>
      <c r="JD62" s="21"/>
      <c r="JE62" s="21"/>
      <c r="JF62" s="21"/>
      <c r="JG62" s="21"/>
      <c r="JH62" s="21"/>
      <c r="JI62" s="21"/>
      <c r="JJ62" s="21"/>
      <c r="JK62" s="21"/>
      <c r="JL62" s="21"/>
      <c r="JM62" s="21"/>
      <c r="JN62" s="21"/>
      <c r="JO62" s="21"/>
      <c r="JP62" s="21"/>
      <c r="JQ62" s="21"/>
      <c r="JR62" s="21"/>
      <c r="JS62" s="21"/>
      <c r="JT62" s="21"/>
      <c r="JU62" s="21"/>
      <c r="JV62" s="21"/>
      <c r="JW62" s="21"/>
      <c r="JX62" s="21"/>
      <c r="JY62" s="21"/>
      <c r="JZ62" s="21"/>
      <c r="KA62" s="21"/>
      <c r="KB62" s="21"/>
      <c r="KC62" s="21"/>
      <c r="KD62" s="21"/>
      <c r="KE62" s="21"/>
      <c r="KF62" s="21"/>
      <c r="KG62" s="21"/>
      <c r="KH62" s="21"/>
      <c r="KI62" s="21"/>
      <c r="KJ62" s="21"/>
      <c r="KK62" s="21"/>
      <c r="KL62" s="21"/>
      <c r="KM62" s="21"/>
      <c r="KN62" s="21"/>
      <c r="KO62" s="21"/>
      <c r="KP62" s="21"/>
      <c r="KQ62" s="21"/>
      <c r="KR62" s="21"/>
      <c r="KS62" s="21"/>
      <c r="KT62" s="21"/>
      <c r="KU62" s="21"/>
      <c r="KV62" s="21"/>
      <c r="KW62" s="21"/>
      <c r="KX62" s="21"/>
      <c r="KY62" s="21"/>
      <c r="KZ62" s="21"/>
      <c r="LA62" s="21"/>
      <c r="LB62" s="21"/>
      <c r="LC62" s="21"/>
      <c r="LD62" s="21"/>
      <c r="LE62" s="21"/>
      <c r="LF62" s="21"/>
      <c r="LG62" s="21"/>
      <c r="LH62" s="21"/>
      <c r="LI62" s="21"/>
      <c r="LJ62" s="21"/>
      <c r="LK62" s="21"/>
      <c r="LL62" s="21"/>
      <c r="LM62" s="21"/>
      <c r="LN62" s="21"/>
      <c r="LO62" s="21"/>
      <c r="LP62" s="21"/>
      <c r="LQ62" s="21"/>
      <c r="LR62" s="21"/>
      <c r="LS62" s="21"/>
      <c r="LT62" s="21"/>
      <c r="LU62" s="21"/>
      <c r="LV62" s="21"/>
      <c r="LW62" s="21"/>
      <c r="LX62" s="21"/>
      <c r="LY62" s="21"/>
      <c r="LZ62" s="21"/>
      <c r="MA62" s="21"/>
      <c r="MB62" s="21"/>
      <c r="MC62" s="21"/>
      <c r="MD62" s="21"/>
      <c r="ME62" s="21"/>
      <c r="MF62" s="21"/>
      <c r="MG62" s="21"/>
      <c r="MH62" s="21"/>
      <c r="MI62" s="21"/>
      <c r="MJ62" s="21"/>
      <c r="MK62" s="21"/>
      <c r="ML62" s="21"/>
      <c r="MM62" s="21"/>
      <c r="MN62" s="21"/>
      <c r="MO62" s="21"/>
      <c r="MP62" s="21"/>
      <c r="MQ62" s="21"/>
      <c r="MR62" s="21"/>
      <c r="MS62" s="21"/>
      <c r="MT62" s="21"/>
      <c r="MU62" s="21"/>
      <c r="MV62" s="21"/>
      <c r="MW62" s="21"/>
      <c r="MX62" s="21"/>
      <c r="MY62" s="21"/>
      <c r="MZ62" s="21"/>
      <c r="NA62" s="21"/>
      <c r="NB62" s="21"/>
      <c r="NC62" s="21"/>
      <c r="ND62" s="21"/>
      <c r="NE62" s="21"/>
      <c r="NF62" s="21"/>
      <c r="NG62" s="21"/>
      <c r="NH62" s="21"/>
      <c r="NI62" s="21"/>
      <c r="NJ62" s="21"/>
      <c r="NK62" s="21"/>
      <c r="NL62" s="21"/>
      <c r="NM62" s="21"/>
      <c r="NN62" s="21"/>
      <c r="NO62" s="21"/>
      <c r="NP62" s="21"/>
      <c r="NQ62" s="21"/>
      <c r="NR62" s="21"/>
      <c r="NS62" s="21"/>
      <c r="NT62" s="21"/>
      <c r="NU62" s="21"/>
      <c r="NV62" s="21"/>
      <c r="NW62" s="21"/>
      <c r="NX62" s="21"/>
      <c r="NY62" s="21"/>
      <c r="NZ62" s="21"/>
      <c r="OA62" s="21"/>
      <c r="OB62" s="21"/>
      <c r="OC62" s="21"/>
      <c r="OD62" s="21"/>
      <c r="OE62" s="21"/>
      <c r="OF62" s="21"/>
      <c r="OG62" s="21"/>
      <c r="OH62" s="21"/>
      <c r="OI62" s="21"/>
      <c r="OJ62" s="21"/>
      <c r="OK62" s="21"/>
      <c r="OL62" s="21"/>
      <c r="OM62" s="21"/>
      <c r="ON62" s="21"/>
      <c r="OO62" s="21"/>
      <c r="OP62" s="21"/>
      <c r="OQ62" s="21"/>
      <c r="OR62" s="21"/>
      <c r="OS62" s="21"/>
      <c r="OT62" s="21"/>
      <c r="OU62" s="21"/>
      <c r="OV62" s="21"/>
      <c r="OW62" s="21"/>
      <c r="OX62" s="21"/>
      <c r="OY62" s="21"/>
      <c r="OZ62" s="21"/>
      <c r="PA62" s="21"/>
      <c r="PB62" s="21"/>
      <c r="PC62" s="21"/>
      <c r="PD62" s="21"/>
      <c r="PE62" s="21"/>
      <c r="PF62" s="21"/>
      <c r="PG62" s="21"/>
      <c r="PH62" s="21"/>
      <c r="PI62" s="21"/>
      <c r="PJ62" s="21"/>
      <c r="PK62" s="21"/>
      <c r="PL62" s="21"/>
      <c r="PM62" s="21"/>
      <c r="PN62" s="21"/>
      <c r="PO62" s="21"/>
      <c r="PP62" s="21"/>
      <c r="PQ62" s="21"/>
      <c r="PR62" s="21"/>
      <c r="PS62" s="21"/>
      <c r="PT62" s="21"/>
      <c r="PU62" s="21"/>
      <c r="PV62" s="21"/>
      <c r="PW62" s="21"/>
      <c r="PX62" s="21"/>
      <c r="PY62" s="21"/>
      <c r="PZ62" s="21"/>
      <c r="QA62" s="21"/>
      <c r="QB62" s="21"/>
      <c r="QC62" s="21"/>
      <c r="QD62" s="21"/>
      <c r="QE62" s="21"/>
      <c r="QF62" s="21"/>
      <c r="QG62" s="21"/>
      <c r="QH62" s="21"/>
      <c r="QI62" s="21"/>
      <c r="QJ62" s="21"/>
      <c r="QK62" s="21"/>
      <c r="QL62" s="21"/>
      <c r="QM62" s="21"/>
      <c r="QN62" s="21"/>
      <c r="QO62" s="21"/>
      <c r="QP62" s="21"/>
      <c r="QQ62" s="21"/>
      <c r="QR62" s="21"/>
      <c r="QS62" s="21"/>
      <c r="QT62" s="21"/>
      <c r="QU62" s="21"/>
      <c r="QV62" s="21"/>
      <c r="QW62" s="21"/>
      <c r="QX62" s="21"/>
      <c r="QY62" s="21"/>
      <c r="QZ62" s="21"/>
      <c r="RA62" s="21"/>
      <c r="RB62" s="21"/>
      <c r="RC62" s="21"/>
      <c r="RD62" s="21"/>
      <c r="RE62" s="21"/>
      <c r="RF62" s="21"/>
      <c r="RG62" s="21"/>
      <c r="RH62" s="21"/>
      <c r="RI62" s="21"/>
      <c r="RJ62" s="21"/>
      <c r="RK62" s="21"/>
      <c r="RL62" s="21"/>
      <c r="RM62" s="21"/>
      <c r="RN62" s="21"/>
      <c r="RO62" s="21"/>
      <c r="RP62" s="21"/>
      <c r="RQ62" s="21"/>
      <c r="RR62" s="21"/>
      <c r="RS62" s="21"/>
      <c r="RT62" s="21"/>
      <c r="RU62" s="21"/>
      <c r="RV62" s="21"/>
      <c r="RW62" s="21"/>
      <c r="RX62" s="21"/>
      <c r="RY62" s="21"/>
      <c r="RZ62" s="21"/>
      <c r="SA62" s="21"/>
      <c r="SB62" s="21"/>
      <c r="SC62" s="21"/>
      <c r="SD62" s="21"/>
      <c r="SE62" s="21"/>
      <c r="SF62" s="21"/>
      <c r="SG62" s="21"/>
      <c r="SH62" s="21"/>
      <c r="SI62" s="21"/>
      <c r="SJ62" s="21"/>
      <c r="SK62" s="21"/>
      <c r="SL62" s="21"/>
      <c r="SM62" s="21"/>
      <c r="SN62" s="21"/>
      <c r="SO62" s="21"/>
      <c r="SP62" s="21"/>
      <c r="SQ62" s="21"/>
      <c r="SR62" s="21"/>
      <c r="SS62" s="21"/>
      <c r="ST62" s="21"/>
      <c r="SU62" s="21"/>
      <c r="SV62" s="21"/>
      <c r="SW62" s="21"/>
      <c r="SX62" s="21"/>
      <c r="SY62" s="21"/>
      <c r="SZ62" s="21"/>
      <c r="TA62" s="21"/>
      <c r="TB62" s="21"/>
      <c r="TC62" s="21"/>
      <c r="TD62" s="21"/>
      <c r="TE62" s="21"/>
      <c r="TF62" s="21"/>
      <c r="TG62" s="21"/>
      <c r="TH62" s="21"/>
      <c r="TI62" s="21"/>
      <c r="TJ62" s="21"/>
      <c r="TK62" s="21"/>
      <c r="TL62" s="21"/>
      <c r="TM62" s="21"/>
      <c r="TN62" s="21"/>
      <c r="TO62" s="21"/>
      <c r="TP62" s="21"/>
      <c r="TQ62" s="21"/>
      <c r="TR62" s="21"/>
      <c r="TS62" s="21"/>
      <c r="TT62" s="21"/>
      <c r="TU62" s="21"/>
      <c r="TV62" s="21"/>
      <c r="TW62" s="21"/>
      <c r="TX62" s="21"/>
      <c r="TY62" s="21"/>
      <c r="TZ62" s="21"/>
      <c r="UA62" s="21"/>
      <c r="UB62" s="21"/>
      <c r="UC62" s="21"/>
      <c r="UD62" s="21"/>
      <c r="UE62" s="21"/>
      <c r="UF62" s="21"/>
      <c r="UG62" s="21"/>
      <c r="UH62" s="21"/>
      <c r="UI62" s="21"/>
      <c r="UJ62" s="21"/>
      <c r="UK62" s="21"/>
      <c r="UL62" s="21"/>
      <c r="UM62" s="21"/>
      <c r="UN62" s="21"/>
      <c r="UO62" s="21"/>
      <c r="UP62" s="21"/>
      <c r="UQ62" s="21"/>
      <c r="UR62" s="21"/>
      <c r="US62" s="21"/>
      <c r="UT62" s="21"/>
      <c r="UU62" s="21"/>
      <c r="UV62" s="21"/>
      <c r="UW62" s="21"/>
      <c r="UX62" s="21"/>
      <c r="UY62" s="21"/>
      <c r="UZ62" s="21"/>
      <c r="VA62" s="21"/>
      <c r="VB62" s="21"/>
      <c r="VC62" s="21"/>
      <c r="VD62" s="21"/>
      <c r="VE62" s="21"/>
      <c r="VF62" s="21"/>
      <c r="VG62" s="21"/>
      <c r="VH62" s="21"/>
      <c r="VI62" s="21"/>
      <c r="VJ62" s="21"/>
      <c r="VK62" s="21"/>
      <c r="VL62" s="21"/>
      <c r="VM62" s="21"/>
      <c r="VN62" s="21"/>
      <c r="VO62" s="21"/>
      <c r="VP62" s="21"/>
      <c r="VQ62" s="21"/>
      <c r="VR62" s="21"/>
      <c r="VS62" s="21"/>
      <c r="VT62" s="21"/>
      <c r="VU62" s="21"/>
      <c r="VV62" s="21"/>
      <c r="VW62" s="21"/>
      <c r="VX62" s="21"/>
      <c r="VY62" s="21"/>
      <c r="VZ62" s="21"/>
      <c r="WA62" s="21"/>
      <c r="WB62" s="21"/>
      <c r="WC62" s="21"/>
      <c r="WD62" s="21"/>
      <c r="WE62" s="21"/>
      <c r="WF62" s="21"/>
      <c r="WG62" s="21"/>
      <c r="WH62" s="21"/>
      <c r="WI62" s="21"/>
      <c r="WJ62" s="21"/>
      <c r="WK62" s="21"/>
      <c r="WL62" s="21"/>
      <c r="WM62" s="21"/>
      <c r="WN62" s="21"/>
      <c r="WO62" s="21"/>
      <c r="WP62" s="21"/>
      <c r="WQ62" s="21"/>
      <c r="WR62" s="21"/>
      <c r="WS62" s="21"/>
      <c r="WT62" s="21"/>
      <c r="WU62" s="21"/>
      <c r="WV62" s="21"/>
      <c r="WW62" s="21"/>
      <c r="WX62" s="21"/>
      <c r="WY62" s="21"/>
      <c r="WZ62" s="21"/>
      <c r="XA62" s="21"/>
      <c r="XB62" s="21"/>
      <c r="XC62" s="21"/>
      <c r="XD62" s="21"/>
      <c r="XE62" s="21"/>
      <c r="XF62" s="21"/>
      <c r="XG62" s="21"/>
      <c r="XH62" s="21"/>
      <c r="XI62" s="21"/>
      <c r="XJ62" s="21"/>
      <c r="XK62" s="21"/>
      <c r="XL62" s="21"/>
      <c r="XM62" s="21"/>
      <c r="XN62" s="21"/>
      <c r="XO62" s="21"/>
      <c r="XP62" s="21"/>
      <c r="XQ62" s="21"/>
      <c r="XR62" s="21"/>
      <c r="XS62" s="21"/>
      <c r="XT62" s="21"/>
      <c r="XU62" s="21"/>
      <c r="XV62" s="21"/>
      <c r="XW62" s="21"/>
      <c r="XX62" s="21"/>
      <c r="XY62" s="21"/>
      <c r="XZ62" s="21"/>
      <c r="YA62" s="21"/>
      <c r="YB62" s="21"/>
      <c r="YC62" s="21"/>
      <c r="YD62" s="21"/>
      <c r="YE62" s="21"/>
      <c r="YF62" s="21"/>
      <c r="YG62" s="21"/>
      <c r="YH62" s="21"/>
      <c r="YI62" s="21"/>
      <c r="YJ62" s="21"/>
      <c r="YK62" s="21"/>
      <c r="YL62" s="21"/>
      <c r="YM62" s="21"/>
      <c r="YN62" s="21"/>
      <c r="YO62" s="21"/>
      <c r="YP62" s="21"/>
      <c r="YQ62" s="21"/>
      <c r="YR62" s="21"/>
      <c r="YS62" s="21"/>
      <c r="YT62" s="21"/>
      <c r="YU62" s="21"/>
      <c r="YV62" s="21"/>
      <c r="YW62" s="21"/>
      <c r="YX62" s="21"/>
      <c r="YY62" s="21"/>
      <c r="YZ62" s="21"/>
      <c r="ZA62" s="21"/>
      <c r="ZB62" s="21"/>
      <c r="ZC62" s="21"/>
      <c r="ZD62" s="21"/>
      <c r="ZE62" s="21"/>
      <c r="ZF62" s="21"/>
      <c r="ZG62" s="21"/>
      <c r="ZH62" s="21"/>
      <c r="ZI62" s="21"/>
      <c r="ZJ62" s="21"/>
      <c r="ZK62" s="21"/>
      <c r="ZL62" s="21"/>
      <c r="ZM62" s="21"/>
      <c r="ZN62" s="21"/>
      <c r="ZO62" s="21"/>
      <c r="ZP62" s="21"/>
      <c r="ZQ62" s="21"/>
      <c r="ZR62" s="21"/>
      <c r="ZS62" s="21"/>
      <c r="ZT62" s="21"/>
      <c r="ZU62" s="21"/>
      <c r="ZV62" s="21"/>
      <c r="ZW62" s="21"/>
      <c r="ZX62" s="21"/>
      <c r="ZY62" s="21"/>
      <c r="ZZ62" s="21"/>
      <c r="AAA62" s="21"/>
      <c r="AAB62" s="21"/>
      <c r="AAC62" s="21"/>
      <c r="AAD62" s="21"/>
      <c r="AAE62" s="21"/>
      <c r="AAF62" s="21"/>
      <c r="AAG62" s="21"/>
      <c r="AAH62" s="21"/>
      <c r="AAI62" s="21"/>
      <c r="AAJ62" s="21"/>
      <c r="AAK62" s="21"/>
      <c r="AAL62" s="21"/>
      <c r="AAM62" s="21"/>
      <c r="AAN62" s="21"/>
      <c r="AAO62" s="21"/>
      <c r="AAP62" s="21"/>
      <c r="AAQ62" s="21"/>
      <c r="AAR62" s="21"/>
      <c r="AAS62" s="21"/>
      <c r="AAT62" s="21"/>
      <c r="AAU62" s="21"/>
      <c r="AAV62" s="21"/>
      <c r="AAW62" s="21"/>
      <c r="AAX62" s="21"/>
      <c r="AAY62" s="21"/>
      <c r="AAZ62" s="21"/>
      <c r="ABA62" s="21"/>
      <c r="ABB62" s="21"/>
      <c r="ABC62" s="21"/>
      <c r="ABD62" s="21"/>
      <c r="ABE62" s="21"/>
      <c r="ABF62" s="21"/>
      <c r="ABG62" s="21"/>
      <c r="ABH62" s="21"/>
      <c r="ABI62" s="21"/>
      <c r="ABJ62" s="21"/>
      <c r="ABK62" s="21"/>
      <c r="ABL62" s="21"/>
      <c r="ABM62" s="21"/>
      <c r="ABN62" s="21"/>
      <c r="ABO62" s="21"/>
      <c r="ABP62" s="21"/>
      <c r="ABQ62" s="21"/>
      <c r="ABR62" s="21"/>
      <c r="ABS62" s="21"/>
      <c r="ABT62" s="21"/>
      <c r="ABU62" s="21"/>
      <c r="ABV62" s="21"/>
      <c r="ABW62" s="21"/>
      <c r="ABX62" s="21"/>
      <c r="ABY62" s="21"/>
      <c r="ABZ62" s="21"/>
      <c r="ACA62" s="21"/>
      <c r="ACB62" s="21"/>
      <c r="ACC62" s="21"/>
      <c r="ACD62" s="21"/>
      <c r="ACE62" s="21"/>
      <c r="ACF62" s="21"/>
      <c r="ACG62" s="21"/>
      <c r="ACH62" s="21"/>
      <c r="ACI62" s="21"/>
      <c r="ACJ62" s="21"/>
      <c r="ACK62" s="21"/>
      <c r="ACL62" s="21"/>
      <c r="ACM62" s="21"/>
      <c r="ACN62" s="21"/>
      <c r="ACO62" s="21"/>
      <c r="ACP62" s="21"/>
      <c r="ACQ62" s="21"/>
      <c r="ACR62" s="21"/>
      <c r="ACS62" s="21"/>
      <c r="ACT62" s="21"/>
      <c r="ACU62" s="21"/>
      <c r="ACV62" s="21"/>
      <c r="ACW62" s="21"/>
      <c r="ACX62" s="21"/>
      <c r="ACY62" s="21"/>
      <c r="ACZ62" s="21"/>
      <c r="ADA62" s="21"/>
      <c r="ADB62" s="21"/>
      <c r="ADC62" s="21"/>
      <c r="ADD62" s="21"/>
      <c r="ADE62" s="21"/>
      <c r="ADF62" s="21"/>
      <c r="ADG62" s="21"/>
      <c r="ADH62" s="21"/>
      <c r="ADI62" s="21"/>
      <c r="ADJ62" s="21"/>
      <c r="ADK62" s="21"/>
      <c r="ADL62" s="21"/>
      <c r="ADM62" s="21"/>
      <c r="ADN62" s="21"/>
      <c r="ADO62" s="21"/>
      <c r="ADP62" s="21"/>
      <c r="ADQ62" s="21"/>
      <c r="ADR62" s="21"/>
      <c r="ADS62" s="21"/>
      <c r="ADT62" s="21"/>
      <c r="ADU62" s="21"/>
      <c r="ADV62" s="21"/>
      <c r="ADW62" s="21"/>
      <c r="ADX62" s="21"/>
      <c r="ADY62" s="21"/>
      <c r="ADZ62" s="21"/>
      <c r="AEA62" s="21"/>
      <c r="AEB62" s="21"/>
      <c r="AEC62" s="21"/>
      <c r="AED62" s="21"/>
      <c r="AEE62" s="21"/>
      <c r="AEF62" s="21"/>
      <c r="AEG62" s="21"/>
    </row>
    <row r="63" spans="1:813" s="93" customFormat="1" ht="120" x14ac:dyDescent="0.25">
      <c r="A63" s="92">
        <v>19</v>
      </c>
      <c r="B63" s="63" t="s">
        <v>375</v>
      </c>
      <c r="C63" s="80" t="s">
        <v>390</v>
      </c>
      <c r="D63" s="63" t="s">
        <v>389</v>
      </c>
      <c r="E63" s="36" t="s">
        <v>388</v>
      </c>
      <c r="F63" s="111">
        <v>31.607142857142854</v>
      </c>
      <c r="G63" s="32">
        <f>7/2</f>
        <v>3.5</v>
      </c>
      <c r="H63" s="33">
        <f t="shared" si="2"/>
        <v>110</v>
      </c>
      <c r="I63" s="32">
        <f>2/2</f>
        <v>1</v>
      </c>
      <c r="J63" s="33">
        <f t="shared" si="3"/>
        <v>30</v>
      </c>
      <c r="K63" s="32">
        <f>7/2</f>
        <v>3.5</v>
      </c>
      <c r="L63" s="33">
        <f t="shared" si="4"/>
        <v>110</v>
      </c>
      <c r="M63" s="32">
        <f>3/2</f>
        <v>1.5</v>
      </c>
      <c r="N63" s="33">
        <f t="shared" si="5"/>
        <v>50</v>
      </c>
      <c r="O63" s="32">
        <f>8/2</f>
        <v>4</v>
      </c>
      <c r="P63" s="33">
        <f t="shared" si="6"/>
        <v>130</v>
      </c>
      <c r="Q63" s="32">
        <f>1/2</f>
        <v>0.5</v>
      </c>
      <c r="R63" s="33">
        <f t="shared" si="7"/>
        <v>20</v>
      </c>
      <c r="S63" s="32">
        <f>11/2</f>
        <v>5.5</v>
      </c>
      <c r="T63" s="33">
        <f t="shared" si="8"/>
        <v>170</v>
      </c>
      <c r="U63" s="32">
        <f>9/2</f>
        <v>4.5</v>
      </c>
      <c r="V63" s="33">
        <f t="shared" si="9"/>
        <v>140</v>
      </c>
      <c r="W63" s="32">
        <f>0</f>
        <v>0</v>
      </c>
      <c r="X63" s="33">
        <f t="shared" si="10"/>
        <v>0</v>
      </c>
      <c r="Y63" s="32">
        <f>7/2</f>
        <v>3.5</v>
      </c>
      <c r="Z63" s="33">
        <f t="shared" si="11"/>
        <v>110</v>
      </c>
      <c r="AA63" s="32">
        <f>1/2</f>
        <v>0.5</v>
      </c>
      <c r="AB63" s="33">
        <f t="shared" si="12"/>
        <v>20</v>
      </c>
      <c r="AC63" s="32">
        <f>2/2</f>
        <v>1</v>
      </c>
      <c r="AD63" s="33">
        <f t="shared" si="13"/>
        <v>30</v>
      </c>
      <c r="AE63" s="32"/>
      <c r="AF63" s="33">
        <f t="shared" si="14"/>
        <v>920</v>
      </c>
      <c r="AG63" s="33">
        <v>0</v>
      </c>
      <c r="AH63" s="33">
        <v>0</v>
      </c>
      <c r="AI63" s="32">
        <v>0</v>
      </c>
      <c r="AJ63" s="31">
        <v>48995.74545888506</v>
      </c>
      <c r="AK63" s="31">
        <v>3991.0349230765496</v>
      </c>
      <c r="AL63" s="31">
        <v>52986.780381961609</v>
      </c>
      <c r="AM63" s="30" t="s">
        <v>18</v>
      </c>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21"/>
      <c r="SL63" s="21"/>
      <c r="SM63" s="21"/>
      <c r="SN63" s="21"/>
      <c r="SO63" s="21"/>
      <c r="SP63" s="21"/>
      <c r="SQ63" s="21"/>
      <c r="SR63" s="21"/>
      <c r="SS63" s="21"/>
      <c r="ST63" s="21"/>
      <c r="SU63" s="21"/>
      <c r="SV63" s="21"/>
      <c r="SW63" s="21"/>
      <c r="SX63" s="21"/>
      <c r="SY63" s="21"/>
      <c r="SZ63" s="21"/>
      <c r="TA63" s="21"/>
      <c r="TB63" s="21"/>
      <c r="TC63" s="21"/>
      <c r="TD63" s="21"/>
      <c r="TE63" s="21"/>
      <c r="TF63" s="21"/>
      <c r="TG63" s="21"/>
      <c r="TH63" s="21"/>
      <c r="TI63" s="21"/>
      <c r="TJ63" s="21"/>
      <c r="TK63" s="21"/>
      <c r="TL63" s="21"/>
      <c r="TM63" s="21"/>
      <c r="TN63" s="21"/>
      <c r="TO63" s="21"/>
      <c r="TP63" s="21"/>
      <c r="TQ63" s="21"/>
      <c r="TR63" s="21"/>
      <c r="TS63" s="21"/>
      <c r="TT63" s="21"/>
      <c r="TU63" s="21"/>
      <c r="TV63" s="21"/>
      <c r="TW63" s="21"/>
      <c r="TX63" s="21"/>
      <c r="TY63" s="21"/>
      <c r="TZ63" s="21"/>
      <c r="UA63" s="21"/>
      <c r="UB63" s="21"/>
      <c r="UC63" s="21"/>
      <c r="UD63" s="21"/>
      <c r="UE63" s="21"/>
      <c r="UF63" s="21"/>
      <c r="UG63" s="21"/>
      <c r="UH63" s="21"/>
      <c r="UI63" s="21"/>
      <c r="UJ63" s="21"/>
      <c r="UK63" s="21"/>
      <c r="UL63" s="21"/>
      <c r="UM63" s="21"/>
      <c r="UN63" s="21"/>
      <c r="UO63" s="21"/>
      <c r="UP63" s="21"/>
      <c r="UQ63" s="21"/>
      <c r="UR63" s="21"/>
      <c r="US63" s="21"/>
      <c r="UT63" s="21"/>
      <c r="UU63" s="21"/>
      <c r="UV63" s="21"/>
      <c r="UW63" s="21"/>
      <c r="UX63" s="21"/>
      <c r="UY63" s="21"/>
      <c r="UZ63" s="21"/>
      <c r="VA63" s="21"/>
      <c r="VB63" s="21"/>
      <c r="VC63" s="21"/>
      <c r="VD63" s="21"/>
      <c r="VE63" s="21"/>
      <c r="VF63" s="21"/>
      <c r="VG63" s="21"/>
      <c r="VH63" s="21"/>
      <c r="VI63" s="21"/>
      <c r="VJ63" s="21"/>
      <c r="VK63" s="21"/>
      <c r="VL63" s="21"/>
      <c r="VM63" s="21"/>
      <c r="VN63" s="21"/>
      <c r="VO63" s="21"/>
      <c r="VP63" s="21"/>
      <c r="VQ63" s="21"/>
      <c r="VR63" s="21"/>
      <c r="VS63" s="21"/>
      <c r="VT63" s="21"/>
      <c r="VU63" s="21"/>
      <c r="VV63" s="21"/>
      <c r="VW63" s="21"/>
      <c r="VX63" s="21"/>
      <c r="VY63" s="21"/>
      <c r="VZ63" s="21"/>
      <c r="WA63" s="21"/>
      <c r="WB63" s="21"/>
      <c r="WC63" s="21"/>
      <c r="WD63" s="21"/>
      <c r="WE63" s="21"/>
      <c r="WF63" s="21"/>
      <c r="WG63" s="21"/>
      <c r="WH63" s="21"/>
      <c r="WI63" s="21"/>
      <c r="WJ63" s="21"/>
      <c r="WK63" s="21"/>
      <c r="WL63" s="21"/>
      <c r="WM63" s="21"/>
      <c r="WN63" s="21"/>
      <c r="WO63" s="21"/>
      <c r="WP63" s="21"/>
      <c r="WQ63" s="21"/>
      <c r="WR63" s="21"/>
      <c r="WS63" s="21"/>
      <c r="WT63" s="21"/>
      <c r="WU63" s="21"/>
      <c r="WV63" s="21"/>
      <c r="WW63" s="21"/>
      <c r="WX63" s="21"/>
      <c r="WY63" s="21"/>
      <c r="WZ63" s="21"/>
      <c r="XA63" s="21"/>
      <c r="XB63" s="21"/>
      <c r="XC63" s="21"/>
      <c r="XD63" s="21"/>
      <c r="XE63" s="21"/>
      <c r="XF63" s="21"/>
      <c r="XG63" s="21"/>
      <c r="XH63" s="21"/>
      <c r="XI63" s="21"/>
      <c r="XJ63" s="21"/>
      <c r="XK63" s="21"/>
      <c r="XL63" s="21"/>
      <c r="XM63" s="21"/>
      <c r="XN63" s="21"/>
      <c r="XO63" s="21"/>
      <c r="XP63" s="21"/>
      <c r="XQ63" s="21"/>
      <c r="XR63" s="21"/>
      <c r="XS63" s="21"/>
      <c r="XT63" s="21"/>
      <c r="XU63" s="21"/>
      <c r="XV63" s="21"/>
      <c r="XW63" s="21"/>
      <c r="XX63" s="21"/>
      <c r="XY63" s="21"/>
      <c r="XZ63" s="21"/>
      <c r="YA63" s="21"/>
      <c r="YB63" s="21"/>
      <c r="YC63" s="21"/>
      <c r="YD63" s="21"/>
      <c r="YE63" s="21"/>
      <c r="YF63" s="21"/>
      <c r="YG63" s="21"/>
      <c r="YH63" s="21"/>
      <c r="YI63" s="21"/>
      <c r="YJ63" s="21"/>
      <c r="YK63" s="21"/>
      <c r="YL63" s="21"/>
      <c r="YM63" s="21"/>
      <c r="YN63" s="21"/>
      <c r="YO63" s="21"/>
      <c r="YP63" s="21"/>
      <c r="YQ63" s="21"/>
      <c r="YR63" s="21"/>
      <c r="YS63" s="21"/>
      <c r="YT63" s="21"/>
      <c r="YU63" s="21"/>
      <c r="YV63" s="21"/>
      <c r="YW63" s="21"/>
      <c r="YX63" s="21"/>
      <c r="YY63" s="21"/>
      <c r="YZ63" s="21"/>
      <c r="ZA63" s="21"/>
      <c r="ZB63" s="21"/>
      <c r="ZC63" s="21"/>
      <c r="ZD63" s="21"/>
      <c r="ZE63" s="21"/>
      <c r="ZF63" s="21"/>
      <c r="ZG63" s="21"/>
      <c r="ZH63" s="21"/>
      <c r="ZI63" s="21"/>
      <c r="ZJ63" s="21"/>
      <c r="ZK63" s="21"/>
      <c r="ZL63" s="21"/>
      <c r="ZM63" s="21"/>
      <c r="ZN63" s="21"/>
      <c r="ZO63" s="21"/>
      <c r="ZP63" s="21"/>
      <c r="ZQ63" s="21"/>
      <c r="ZR63" s="21"/>
      <c r="ZS63" s="21"/>
      <c r="ZT63" s="21"/>
      <c r="ZU63" s="21"/>
      <c r="ZV63" s="21"/>
      <c r="ZW63" s="21"/>
      <c r="ZX63" s="21"/>
      <c r="ZY63" s="21"/>
      <c r="ZZ63" s="21"/>
      <c r="AAA63" s="21"/>
      <c r="AAB63" s="21"/>
      <c r="AAC63" s="21"/>
      <c r="AAD63" s="21"/>
      <c r="AAE63" s="21"/>
      <c r="AAF63" s="21"/>
      <c r="AAG63" s="21"/>
      <c r="AAH63" s="21"/>
      <c r="AAI63" s="21"/>
      <c r="AAJ63" s="21"/>
      <c r="AAK63" s="21"/>
      <c r="AAL63" s="21"/>
      <c r="AAM63" s="21"/>
      <c r="AAN63" s="21"/>
      <c r="AAO63" s="21"/>
      <c r="AAP63" s="21"/>
      <c r="AAQ63" s="21"/>
      <c r="AAR63" s="21"/>
      <c r="AAS63" s="21"/>
      <c r="AAT63" s="21"/>
      <c r="AAU63" s="21"/>
      <c r="AAV63" s="21"/>
      <c r="AAW63" s="21"/>
      <c r="AAX63" s="21"/>
      <c r="AAY63" s="21"/>
      <c r="AAZ63" s="21"/>
      <c r="ABA63" s="21"/>
      <c r="ABB63" s="21"/>
      <c r="ABC63" s="21"/>
      <c r="ABD63" s="21"/>
      <c r="ABE63" s="21"/>
      <c r="ABF63" s="21"/>
      <c r="ABG63" s="21"/>
      <c r="ABH63" s="21"/>
      <c r="ABI63" s="21"/>
      <c r="ABJ63" s="21"/>
      <c r="ABK63" s="21"/>
      <c r="ABL63" s="21"/>
      <c r="ABM63" s="21"/>
      <c r="ABN63" s="21"/>
      <c r="ABO63" s="21"/>
      <c r="ABP63" s="21"/>
      <c r="ABQ63" s="21"/>
      <c r="ABR63" s="21"/>
      <c r="ABS63" s="21"/>
      <c r="ABT63" s="21"/>
      <c r="ABU63" s="21"/>
      <c r="ABV63" s="21"/>
      <c r="ABW63" s="21"/>
      <c r="ABX63" s="21"/>
      <c r="ABY63" s="21"/>
      <c r="ABZ63" s="21"/>
      <c r="ACA63" s="21"/>
      <c r="ACB63" s="21"/>
      <c r="ACC63" s="21"/>
      <c r="ACD63" s="21"/>
      <c r="ACE63" s="21"/>
      <c r="ACF63" s="21"/>
      <c r="ACG63" s="21"/>
      <c r="ACH63" s="21"/>
      <c r="ACI63" s="21"/>
      <c r="ACJ63" s="21"/>
      <c r="ACK63" s="21"/>
      <c r="ACL63" s="21"/>
      <c r="ACM63" s="21"/>
      <c r="ACN63" s="21"/>
      <c r="ACO63" s="21"/>
      <c r="ACP63" s="21"/>
      <c r="ACQ63" s="21"/>
      <c r="ACR63" s="21"/>
      <c r="ACS63" s="21"/>
      <c r="ACT63" s="21"/>
      <c r="ACU63" s="21"/>
      <c r="ACV63" s="21"/>
      <c r="ACW63" s="21"/>
      <c r="ACX63" s="21"/>
      <c r="ACY63" s="21"/>
      <c r="ACZ63" s="21"/>
      <c r="ADA63" s="21"/>
      <c r="ADB63" s="21"/>
      <c r="ADC63" s="21"/>
      <c r="ADD63" s="21"/>
      <c r="ADE63" s="21"/>
      <c r="ADF63" s="21"/>
      <c r="ADG63" s="21"/>
      <c r="ADH63" s="21"/>
      <c r="ADI63" s="21"/>
      <c r="ADJ63" s="21"/>
      <c r="ADK63" s="21"/>
      <c r="ADL63" s="21"/>
      <c r="ADM63" s="21"/>
      <c r="ADN63" s="21"/>
      <c r="ADO63" s="21"/>
      <c r="ADP63" s="21"/>
      <c r="ADQ63" s="21"/>
      <c r="ADR63" s="21"/>
      <c r="ADS63" s="21"/>
      <c r="ADT63" s="21"/>
      <c r="ADU63" s="21"/>
      <c r="ADV63" s="21"/>
      <c r="ADW63" s="21"/>
      <c r="ADX63" s="21"/>
      <c r="ADY63" s="21"/>
      <c r="ADZ63" s="21"/>
      <c r="AEA63" s="21"/>
      <c r="AEB63" s="21"/>
      <c r="AEC63" s="21"/>
      <c r="AED63" s="21"/>
      <c r="AEE63" s="21"/>
      <c r="AEF63" s="21"/>
      <c r="AEG63" s="21"/>
    </row>
    <row r="64" spans="1:813" s="93" customFormat="1" ht="105" x14ac:dyDescent="0.25">
      <c r="A64" s="92">
        <v>20</v>
      </c>
      <c r="B64" s="63" t="s">
        <v>375</v>
      </c>
      <c r="C64" s="80" t="s">
        <v>387</v>
      </c>
      <c r="D64" s="63" t="s">
        <v>386</v>
      </c>
      <c r="E64" s="40" t="s">
        <v>385</v>
      </c>
      <c r="F64" s="125">
        <v>20.67081850533808</v>
      </c>
      <c r="G64" s="32">
        <f>75/2</f>
        <v>37.5</v>
      </c>
      <c r="H64" s="33">
        <f t="shared" si="2"/>
        <v>780</v>
      </c>
      <c r="I64" s="32">
        <f>63/2</f>
        <v>31.5</v>
      </c>
      <c r="J64" s="33">
        <f t="shared" si="3"/>
        <v>650</v>
      </c>
      <c r="K64" s="32">
        <f>98/2</f>
        <v>49</v>
      </c>
      <c r="L64" s="33">
        <f t="shared" si="4"/>
        <v>1010</v>
      </c>
      <c r="M64" s="32">
        <f>281/2</f>
        <v>140.5</v>
      </c>
      <c r="N64" s="33">
        <f t="shared" si="5"/>
        <v>2900</v>
      </c>
      <c r="O64" s="32">
        <f>61/2</f>
        <v>30.5</v>
      </c>
      <c r="P64" s="33">
        <f t="shared" si="6"/>
        <v>630</v>
      </c>
      <c r="Q64" s="32">
        <f>184/2</f>
        <v>92</v>
      </c>
      <c r="R64" s="33">
        <f t="shared" si="7"/>
        <v>1900</v>
      </c>
      <c r="S64" s="32">
        <f>237/2</f>
        <v>118.5</v>
      </c>
      <c r="T64" s="33">
        <f t="shared" si="8"/>
        <v>2450</v>
      </c>
      <c r="U64" s="32">
        <f>58/2</f>
        <v>29</v>
      </c>
      <c r="V64" s="33">
        <f t="shared" si="9"/>
        <v>600</v>
      </c>
      <c r="W64" s="32">
        <f>20/2</f>
        <v>10</v>
      </c>
      <c r="X64" s="33">
        <f t="shared" si="10"/>
        <v>210</v>
      </c>
      <c r="Y64" s="32">
        <f>146/2</f>
        <v>73</v>
      </c>
      <c r="Z64" s="33">
        <f t="shared" si="11"/>
        <v>1510</v>
      </c>
      <c r="AA64" s="32">
        <f>82/2</f>
        <v>41</v>
      </c>
      <c r="AB64" s="33">
        <f t="shared" si="12"/>
        <v>850</v>
      </c>
      <c r="AC64" s="32">
        <f>65/2</f>
        <v>32.5</v>
      </c>
      <c r="AD64" s="33">
        <f t="shared" si="13"/>
        <v>670</v>
      </c>
      <c r="AE64" s="32"/>
      <c r="AF64" s="33">
        <f t="shared" si="14"/>
        <v>14160</v>
      </c>
      <c r="AG64" s="33">
        <v>0</v>
      </c>
      <c r="AH64" s="33">
        <v>0</v>
      </c>
      <c r="AI64" s="32">
        <v>0</v>
      </c>
      <c r="AJ64" s="31">
        <v>777472.66105717828</v>
      </c>
      <c r="AK64" s="31">
        <v>63330.407833477751</v>
      </c>
      <c r="AL64" s="31">
        <v>840803.068890656</v>
      </c>
      <c r="AM64" s="30" t="s">
        <v>18</v>
      </c>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c r="HF64" s="21"/>
      <c r="HG64" s="21"/>
      <c r="HH64" s="21"/>
      <c r="HI64" s="21"/>
      <c r="HJ64" s="21"/>
      <c r="HK64" s="21"/>
      <c r="HL64" s="21"/>
      <c r="HM64" s="21"/>
      <c r="HN64" s="21"/>
      <c r="HO64" s="21"/>
      <c r="HP64" s="21"/>
      <c r="HQ64" s="21"/>
      <c r="HR64" s="21"/>
      <c r="HS64" s="21"/>
      <c r="HT64" s="21"/>
      <c r="HU64" s="21"/>
      <c r="HV64" s="21"/>
      <c r="HW64" s="21"/>
      <c r="HX64" s="21"/>
      <c r="HY64" s="21"/>
      <c r="HZ64" s="21"/>
      <c r="IA64" s="21"/>
      <c r="IB64" s="21"/>
      <c r="IC64" s="21"/>
      <c r="ID64" s="21"/>
      <c r="IE64" s="21"/>
      <c r="IF64" s="21"/>
      <c r="IG64" s="21"/>
      <c r="IH64" s="21"/>
      <c r="II64" s="21"/>
      <c r="IJ64" s="21"/>
      <c r="IK64" s="21"/>
      <c r="IL64" s="21"/>
      <c r="IM64" s="21"/>
      <c r="IN64" s="21"/>
      <c r="IO64" s="21"/>
      <c r="IP64" s="21"/>
      <c r="IQ64" s="21"/>
      <c r="IR64" s="21"/>
      <c r="IS64" s="21"/>
      <c r="IT64" s="21"/>
      <c r="IU64" s="21"/>
      <c r="IV64" s="21"/>
      <c r="IW64" s="21"/>
      <c r="IX64" s="21"/>
      <c r="IY64" s="21"/>
      <c r="IZ64" s="21"/>
      <c r="JA64" s="21"/>
      <c r="JB64" s="21"/>
      <c r="JC64" s="21"/>
      <c r="JD64" s="21"/>
      <c r="JE64" s="21"/>
      <c r="JF64" s="21"/>
      <c r="JG64" s="21"/>
      <c r="JH64" s="21"/>
      <c r="JI64" s="21"/>
      <c r="JJ64" s="21"/>
      <c r="JK64" s="21"/>
      <c r="JL64" s="21"/>
      <c r="JM64" s="21"/>
      <c r="JN64" s="21"/>
      <c r="JO64" s="21"/>
      <c r="JP64" s="21"/>
      <c r="JQ64" s="21"/>
      <c r="JR64" s="21"/>
      <c r="JS64" s="21"/>
      <c r="JT64" s="21"/>
      <c r="JU64" s="21"/>
      <c r="JV64" s="21"/>
      <c r="JW64" s="21"/>
      <c r="JX64" s="21"/>
      <c r="JY64" s="21"/>
      <c r="JZ64" s="21"/>
      <c r="KA64" s="21"/>
      <c r="KB64" s="21"/>
      <c r="KC64" s="21"/>
      <c r="KD64" s="21"/>
      <c r="KE64" s="21"/>
      <c r="KF64" s="21"/>
      <c r="KG64" s="21"/>
      <c r="KH64" s="21"/>
      <c r="KI64" s="21"/>
      <c r="KJ64" s="21"/>
      <c r="KK64" s="21"/>
      <c r="KL64" s="21"/>
      <c r="KM64" s="21"/>
      <c r="KN64" s="21"/>
      <c r="KO64" s="21"/>
      <c r="KP64" s="21"/>
      <c r="KQ64" s="21"/>
      <c r="KR64" s="21"/>
      <c r="KS64" s="21"/>
      <c r="KT64" s="21"/>
      <c r="KU64" s="21"/>
      <c r="KV64" s="21"/>
      <c r="KW64" s="21"/>
      <c r="KX64" s="21"/>
      <c r="KY64" s="21"/>
      <c r="KZ64" s="21"/>
      <c r="LA64" s="21"/>
      <c r="LB64" s="21"/>
      <c r="LC64" s="21"/>
      <c r="LD64" s="21"/>
      <c r="LE64" s="21"/>
      <c r="LF64" s="21"/>
      <c r="LG64" s="21"/>
      <c r="LH64" s="21"/>
      <c r="LI64" s="21"/>
      <c r="LJ64" s="21"/>
      <c r="LK64" s="21"/>
      <c r="LL64" s="21"/>
      <c r="LM64" s="21"/>
      <c r="LN64" s="21"/>
      <c r="LO64" s="21"/>
      <c r="LP64" s="21"/>
      <c r="LQ64" s="21"/>
      <c r="LR64" s="21"/>
      <c r="LS64" s="21"/>
      <c r="LT64" s="21"/>
      <c r="LU64" s="21"/>
      <c r="LV64" s="21"/>
      <c r="LW64" s="21"/>
      <c r="LX64" s="21"/>
      <c r="LY64" s="21"/>
      <c r="LZ64" s="21"/>
      <c r="MA64" s="21"/>
      <c r="MB64" s="21"/>
      <c r="MC64" s="21"/>
      <c r="MD64" s="21"/>
      <c r="ME64" s="21"/>
      <c r="MF64" s="21"/>
      <c r="MG64" s="21"/>
      <c r="MH64" s="21"/>
      <c r="MI64" s="21"/>
      <c r="MJ64" s="21"/>
      <c r="MK64" s="21"/>
      <c r="ML64" s="21"/>
      <c r="MM64" s="21"/>
      <c r="MN64" s="21"/>
      <c r="MO64" s="21"/>
      <c r="MP64" s="21"/>
      <c r="MQ64" s="21"/>
      <c r="MR64" s="21"/>
      <c r="MS64" s="21"/>
      <c r="MT64" s="21"/>
      <c r="MU64" s="21"/>
      <c r="MV64" s="21"/>
      <c r="MW64" s="21"/>
      <c r="MX64" s="21"/>
      <c r="MY64" s="21"/>
      <c r="MZ64" s="21"/>
      <c r="NA64" s="21"/>
      <c r="NB64" s="21"/>
      <c r="NC64" s="21"/>
      <c r="ND64" s="21"/>
      <c r="NE64" s="21"/>
      <c r="NF64" s="21"/>
      <c r="NG64" s="21"/>
      <c r="NH64" s="21"/>
      <c r="NI64" s="21"/>
      <c r="NJ64" s="21"/>
      <c r="NK64" s="21"/>
      <c r="NL64" s="21"/>
      <c r="NM64" s="21"/>
      <c r="NN64" s="21"/>
      <c r="NO64" s="21"/>
      <c r="NP64" s="21"/>
      <c r="NQ64" s="21"/>
      <c r="NR64" s="21"/>
      <c r="NS64" s="21"/>
      <c r="NT64" s="21"/>
      <c r="NU64" s="21"/>
      <c r="NV64" s="21"/>
      <c r="NW64" s="21"/>
      <c r="NX64" s="21"/>
      <c r="NY64" s="21"/>
      <c r="NZ64" s="21"/>
      <c r="OA64" s="21"/>
      <c r="OB64" s="21"/>
      <c r="OC64" s="21"/>
      <c r="OD64" s="21"/>
      <c r="OE64" s="21"/>
      <c r="OF64" s="21"/>
      <c r="OG64" s="21"/>
      <c r="OH64" s="21"/>
      <c r="OI64" s="21"/>
      <c r="OJ64" s="21"/>
      <c r="OK64" s="21"/>
      <c r="OL64" s="21"/>
      <c r="OM64" s="21"/>
      <c r="ON64" s="21"/>
      <c r="OO64" s="21"/>
      <c r="OP64" s="21"/>
      <c r="OQ64" s="21"/>
      <c r="OR64" s="21"/>
      <c r="OS64" s="21"/>
      <c r="OT64" s="21"/>
      <c r="OU64" s="21"/>
      <c r="OV64" s="21"/>
      <c r="OW64" s="21"/>
      <c r="OX64" s="21"/>
      <c r="OY64" s="21"/>
      <c r="OZ64" s="21"/>
      <c r="PA64" s="21"/>
      <c r="PB64" s="21"/>
      <c r="PC64" s="21"/>
      <c r="PD64" s="21"/>
      <c r="PE64" s="21"/>
      <c r="PF64" s="21"/>
      <c r="PG64" s="21"/>
      <c r="PH64" s="21"/>
      <c r="PI64" s="21"/>
      <c r="PJ64" s="21"/>
      <c r="PK64" s="21"/>
      <c r="PL64" s="21"/>
      <c r="PM64" s="21"/>
      <c r="PN64" s="21"/>
      <c r="PO64" s="21"/>
      <c r="PP64" s="21"/>
      <c r="PQ64" s="21"/>
      <c r="PR64" s="21"/>
      <c r="PS64" s="21"/>
      <c r="PT64" s="21"/>
      <c r="PU64" s="21"/>
      <c r="PV64" s="21"/>
      <c r="PW64" s="21"/>
      <c r="PX64" s="21"/>
      <c r="PY64" s="21"/>
      <c r="PZ64" s="21"/>
      <c r="QA64" s="21"/>
      <c r="QB64" s="21"/>
      <c r="QC64" s="21"/>
      <c r="QD64" s="21"/>
      <c r="QE64" s="21"/>
      <c r="QF64" s="21"/>
      <c r="QG64" s="21"/>
      <c r="QH64" s="21"/>
      <c r="QI64" s="21"/>
      <c r="QJ64" s="21"/>
      <c r="QK64" s="21"/>
      <c r="QL64" s="21"/>
      <c r="QM64" s="21"/>
      <c r="QN64" s="21"/>
      <c r="QO64" s="21"/>
      <c r="QP64" s="21"/>
      <c r="QQ64" s="21"/>
      <c r="QR64" s="21"/>
      <c r="QS64" s="21"/>
      <c r="QT64" s="21"/>
      <c r="QU64" s="21"/>
      <c r="QV64" s="21"/>
      <c r="QW64" s="21"/>
      <c r="QX64" s="21"/>
      <c r="QY64" s="21"/>
      <c r="QZ64" s="21"/>
      <c r="RA64" s="21"/>
      <c r="RB64" s="21"/>
      <c r="RC64" s="21"/>
      <c r="RD64" s="21"/>
      <c r="RE64" s="21"/>
      <c r="RF64" s="21"/>
      <c r="RG64" s="21"/>
      <c r="RH64" s="21"/>
      <c r="RI64" s="21"/>
      <c r="RJ64" s="21"/>
      <c r="RK64" s="21"/>
      <c r="RL64" s="21"/>
      <c r="RM64" s="21"/>
      <c r="RN64" s="21"/>
      <c r="RO64" s="21"/>
      <c r="RP64" s="21"/>
      <c r="RQ64" s="21"/>
      <c r="RR64" s="21"/>
      <c r="RS64" s="21"/>
      <c r="RT64" s="21"/>
      <c r="RU64" s="21"/>
      <c r="RV64" s="21"/>
      <c r="RW64" s="21"/>
      <c r="RX64" s="21"/>
      <c r="RY64" s="21"/>
      <c r="RZ64" s="21"/>
      <c r="SA64" s="21"/>
      <c r="SB64" s="21"/>
      <c r="SC64" s="21"/>
      <c r="SD64" s="21"/>
      <c r="SE64" s="21"/>
      <c r="SF64" s="21"/>
      <c r="SG64" s="21"/>
      <c r="SH64" s="21"/>
      <c r="SI64" s="21"/>
      <c r="SJ64" s="21"/>
      <c r="SK64" s="21"/>
      <c r="SL64" s="21"/>
      <c r="SM64" s="21"/>
      <c r="SN64" s="21"/>
      <c r="SO64" s="21"/>
      <c r="SP64" s="21"/>
      <c r="SQ64" s="21"/>
      <c r="SR64" s="21"/>
      <c r="SS64" s="21"/>
      <c r="ST64" s="21"/>
      <c r="SU64" s="21"/>
      <c r="SV64" s="21"/>
      <c r="SW64" s="21"/>
      <c r="SX64" s="21"/>
      <c r="SY64" s="21"/>
      <c r="SZ64" s="21"/>
      <c r="TA64" s="21"/>
      <c r="TB64" s="21"/>
      <c r="TC64" s="21"/>
      <c r="TD64" s="21"/>
      <c r="TE64" s="21"/>
      <c r="TF64" s="21"/>
      <c r="TG64" s="21"/>
      <c r="TH64" s="21"/>
      <c r="TI64" s="21"/>
      <c r="TJ64" s="21"/>
      <c r="TK64" s="21"/>
      <c r="TL64" s="21"/>
      <c r="TM64" s="21"/>
      <c r="TN64" s="21"/>
      <c r="TO64" s="21"/>
      <c r="TP64" s="21"/>
      <c r="TQ64" s="21"/>
      <c r="TR64" s="21"/>
      <c r="TS64" s="21"/>
      <c r="TT64" s="21"/>
      <c r="TU64" s="21"/>
      <c r="TV64" s="21"/>
      <c r="TW64" s="21"/>
      <c r="TX64" s="21"/>
      <c r="TY64" s="21"/>
      <c r="TZ64" s="21"/>
      <c r="UA64" s="21"/>
      <c r="UB64" s="21"/>
      <c r="UC64" s="21"/>
      <c r="UD64" s="21"/>
      <c r="UE64" s="21"/>
      <c r="UF64" s="21"/>
      <c r="UG64" s="21"/>
      <c r="UH64" s="21"/>
      <c r="UI64" s="21"/>
      <c r="UJ64" s="21"/>
      <c r="UK64" s="21"/>
      <c r="UL64" s="21"/>
      <c r="UM64" s="21"/>
      <c r="UN64" s="21"/>
      <c r="UO64" s="21"/>
      <c r="UP64" s="21"/>
      <c r="UQ64" s="21"/>
      <c r="UR64" s="21"/>
      <c r="US64" s="21"/>
      <c r="UT64" s="21"/>
      <c r="UU64" s="21"/>
      <c r="UV64" s="21"/>
      <c r="UW64" s="21"/>
      <c r="UX64" s="21"/>
      <c r="UY64" s="21"/>
      <c r="UZ64" s="21"/>
      <c r="VA64" s="21"/>
      <c r="VB64" s="21"/>
      <c r="VC64" s="21"/>
      <c r="VD64" s="21"/>
      <c r="VE64" s="21"/>
      <c r="VF64" s="21"/>
      <c r="VG64" s="21"/>
      <c r="VH64" s="21"/>
      <c r="VI64" s="21"/>
      <c r="VJ64" s="21"/>
      <c r="VK64" s="21"/>
      <c r="VL64" s="21"/>
      <c r="VM64" s="21"/>
      <c r="VN64" s="21"/>
      <c r="VO64" s="21"/>
      <c r="VP64" s="21"/>
      <c r="VQ64" s="21"/>
      <c r="VR64" s="21"/>
      <c r="VS64" s="21"/>
      <c r="VT64" s="21"/>
      <c r="VU64" s="21"/>
      <c r="VV64" s="21"/>
      <c r="VW64" s="21"/>
      <c r="VX64" s="21"/>
      <c r="VY64" s="21"/>
      <c r="VZ64" s="21"/>
      <c r="WA64" s="21"/>
      <c r="WB64" s="21"/>
      <c r="WC64" s="21"/>
      <c r="WD64" s="21"/>
      <c r="WE64" s="21"/>
      <c r="WF64" s="21"/>
      <c r="WG64" s="21"/>
      <c r="WH64" s="21"/>
      <c r="WI64" s="21"/>
      <c r="WJ64" s="21"/>
      <c r="WK64" s="21"/>
      <c r="WL64" s="21"/>
      <c r="WM64" s="21"/>
      <c r="WN64" s="21"/>
      <c r="WO64" s="21"/>
      <c r="WP64" s="21"/>
      <c r="WQ64" s="21"/>
      <c r="WR64" s="21"/>
      <c r="WS64" s="21"/>
      <c r="WT64" s="21"/>
      <c r="WU64" s="21"/>
      <c r="WV64" s="21"/>
      <c r="WW64" s="21"/>
      <c r="WX64" s="21"/>
      <c r="WY64" s="21"/>
      <c r="WZ64" s="21"/>
      <c r="XA64" s="21"/>
      <c r="XB64" s="21"/>
      <c r="XC64" s="21"/>
      <c r="XD64" s="21"/>
      <c r="XE64" s="21"/>
      <c r="XF64" s="21"/>
      <c r="XG64" s="21"/>
      <c r="XH64" s="21"/>
      <c r="XI64" s="21"/>
      <c r="XJ64" s="21"/>
      <c r="XK64" s="21"/>
      <c r="XL64" s="21"/>
      <c r="XM64" s="21"/>
      <c r="XN64" s="21"/>
      <c r="XO64" s="21"/>
      <c r="XP64" s="21"/>
      <c r="XQ64" s="21"/>
      <c r="XR64" s="21"/>
      <c r="XS64" s="21"/>
      <c r="XT64" s="21"/>
      <c r="XU64" s="21"/>
      <c r="XV64" s="21"/>
      <c r="XW64" s="21"/>
      <c r="XX64" s="21"/>
      <c r="XY64" s="21"/>
      <c r="XZ64" s="21"/>
      <c r="YA64" s="21"/>
      <c r="YB64" s="21"/>
      <c r="YC64" s="21"/>
      <c r="YD64" s="21"/>
      <c r="YE64" s="21"/>
      <c r="YF64" s="21"/>
      <c r="YG64" s="21"/>
      <c r="YH64" s="21"/>
      <c r="YI64" s="21"/>
      <c r="YJ64" s="21"/>
      <c r="YK64" s="21"/>
      <c r="YL64" s="21"/>
      <c r="YM64" s="21"/>
      <c r="YN64" s="21"/>
      <c r="YO64" s="21"/>
      <c r="YP64" s="21"/>
      <c r="YQ64" s="21"/>
      <c r="YR64" s="21"/>
      <c r="YS64" s="21"/>
      <c r="YT64" s="21"/>
      <c r="YU64" s="21"/>
      <c r="YV64" s="21"/>
      <c r="YW64" s="21"/>
      <c r="YX64" s="21"/>
      <c r="YY64" s="21"/>
      <c r="YZ64" s="21"/>
      <c r="ZA64" s="21"/>
      <c r="ZB64" s="21"/>
      <c r="ZC64" s="21"/>
      <c r="ZD64" s="21"/>
      <c r="ZE64" s="21"/>
      <c r="ZF64" s="21"/>
      <c r="ZG64" s="21"/>
      <c r="ZH64" s="21"/>
      <c r="ZI64" s="21"/>
      <c r="ZJ64" s="21"/>
      <c r="ZK64" s="21"/>
      <c r="ZL64" s="21"/>
      <c r="ZM64" s="21"/>
      <c r="ZN64" s="21"/>
      <c r="ZO64" s="21"/>
      <c r="ZP64" s="21"/>
      <c r="ZQ64" s="21"/>
      <c r="ZR64" s="21"/>
      <c r="ZS64" s="21"/>
      <c r="ZT64" s="21"/>
      <c r="ZU64" s="21"/>
      <c r="ZV64" s="21"/>
      <c r="ZW64" s="21"/>
      <c r="ZX64" s="21"/>
      <c r="ZY64" s="21"/>
      <c r="ZZ64" s="21"/>
      <c r="AAA64" s="21"/>
      <c r="AAB64" s="21"/>
      <c r="AAC64" s="21"/>
      <c r="AAD64" s="21"/>
      <c r="AAE64" s="21"/>
      <c r="AAF64" s="21"/>
      <c r="AAG64" s="21"/>
      <c r="AAH64" s="21"/>
      <c r="AAI64" s="21"/>
      <c r="AAJ64" s="21"/>
      <c r="AAK64" s="21"/>
      <c r="AAL64" s="21"/>
      <c r="AAM64" s="21"/>
      <c r="AAN64" s="21"/>
      <c r="AAO64" s="21"/>
      <c r="AAP64" s="21"/>
      <c r="AAQ64" s="21"/>
      <c r="AAR64" s="21"/>
      <c r="AAS64" s="21"/>
      <c r="AAT64" s="21"/>
      <c r="AAU64" s="21"/>
      <c r="AAV64" s="21"/>
      <c r="AAW64" s="21"/>
      <c r="AAX64" s="21"/>
      <c r="AAY64" s="21"/>
      <c r="AAZ64" s="21"/>
      <c r="ABA64" s="21"/>
      <c r="ABB64" s="21"/>
      <c r="ABC64" s="21"/>
      <c r="ABD64" s="21"/>
      <c r="ABE64" s="21"/>
      <c r="ABF64" s="21"/>
      <c r="ABG64" s="21"/>
      <c r="ABH64" s="21"/>
      <c r="ABI64" s="21"/>
      <c r="ABJ64" s="21"/>
      <c r="ABK64" s="21"/>
      <c r="ABL64" s="21"/>
      <c r="ABM64" s="21"/>
      <c r="ABN64" s="21"/>
      <c r="ABO64" s="21"/>
      <c r="ABP64" s="21"/>
      <c r="ABQ64" s="21"/>
      <c r="ABR64" s="21"/>
      <c r="ABS64" s="21"/>
      <c r="ABT64" s="21"/>
      <c r="ABU64" s="21"/>
      <c r="ABV64" s="21"/>
      <c r="ABW64" s="21"/>
      <c r="ABX64" s="21"/>
      <c r="ABY64" s="21"/>
      <c r="ABZ64" s="21"/>
      <c r="ACA64" s="21"/>
      <c r="ACB64" s="21"/>
      <c r="ACC64" s="21"/>
      <c r="ACD64" s="21"/>
      <c r="ACE64" s="21"/>
      <c r="ACF64" s="21"/>
      <c r="ACG64" s="21"/>
      <c r="ACH64" s="21"/>
      <c r="ACI64" s="21"/>
      <c r="ACJ64" s="21"/>
      <c r="ACK64" s="21"/>
      <c r="ACL64" s="21"/>
      <c r="ACM64" s="21"/>
      <c r="ACN64" s="21"/>
      <c r="ACO64" s="21"/>
      <c r="ACP64" s="21"/>
      <c r="ACQ64" s="21"/>
      <c r="ACR64" s="21"/>
      <c r="ACS64" s="21"/>
      <c r="ACT64" s="21"/>
      <c r="ACU64" s="21"/>
      <c r="ACV64" s="21"/>
      <c r="ACW64" s="21"/>
      <c r="ACX64" s="21"/>
      <c r="ACY64" s="21"/>
      <c r="ACZ64" s="21"/>
      <c r="ADA64" s="21"/>
      <c r="ADB64" s="21"/>
      <c r="ADC64" s="21"/>
      <c r="ADD64" s="21"/>
      <c r="ADE64" s="21"/>
      <c r="ADF64" s="21"/>
      <c r="ADG64" s="21"/>
      <c r="ADH64" s="21"/>
      <c r="ADI64" s="21"/>
      <c r="ADJ64" s="21"/>
      <c r="ADK64" s="21"/>
      <c r="ADL64" s="21"/>
      <c r="ADM64" s="21"/>
      <c r="ADN64" s="21"/>
      <c r="ADO64" s="21"/>
      <c r="ADP64" s="21"/>
      <c r="ADQ64" s="21"/>
      <c r="ADR64" s="21"/>
      <c r="ADS64" s="21"/>
      <c r="ADT64" s="21"/>
      <c r="ADU64" s="21"/>
      <c r="ADV64" s="21"/>
      <c r="ADW64" s="21"/>
      <c r="ADX64" s="21"/>
      <c r="ADY64" s="21"/>
      <c r="ADZ64" s="21"/>
      <c r="AEA64" s="21"/>
      <c r="AEB64" s="21"/>
      <c r="AEC64" s="21"/>
      <c r="AED64" s="21"/>
      <c r="AEE64" s="21"/>
      <c r="AEF64" s="21"/>
      <c r="AEG64" s="21"/>
    </row>
    <row r="65" spans="1:813" s="93" customFormat="1" ht="195" x14ac:dyDescent="0.25">
      <c r="A65" s="92">
        <v>21</v>
      </c>
      <c r="B65" s="63" t="s">
        <v>375</v>
      </c>
      <c r="C65" s="80" t="s">
        <v>384</v>
      </c>
      <c r="D65" s="63" t="s">
        <v>383</v>
      </c>
      <c r="E65" s="36" t="s">
        <v>382</v>
      </c>
      <c r="F65" s="111">
        <v>0</v>
      </c>
      <c r="G65" s="32">
        <v>0</v>
      </c>
      <c r="H65" s="33">
        <f t="shared" si="2"/>
        <v>0</v>
      </c>
      <c r="I65" s="32">
        <v>0</v>
      </c>
      <c r="J65" s="33">
        <v>70</v>
      </c>
      <c r="K65" s="32">
        <v>0</v>
      </c>
      <c r="L65" s="33">
        <v>100</v>
      </c>
      <c r="M65" s="32">
        <v>0</v>
      </c>
      <c r="N65" s="33">
        <v>20</v>
      </c>
      <c r="O65" s="32">
        <v>0</v>
      </c>
      <c r="P65" s="33">
        <f t="shared" si="6"/>
        <v>0</v>
      </c>
      <c r="Q65" s="32">
        <v>0</v>
      </c>
      <c r="R65" s="33">
        <f t="shared" si="7"/>
        <v>0</v>
      </c>
      <c r="S65" s="32">
        <v>0</v>
      </c>
      <c r="T65" s="33">
        <v>190</v>
      </c>
      <c r="U65" s="32">
        <v>0</v>
      </c>
      <c r="V65" s="33">
        <v>80</v>
      </c>
      <c r="W65" s="32">
        <v>0</v>
      </c>
      <c r="X65" s="33">
        <f t="shared" si="10"/>
        <v>0</v>
      </c>
      <c r="Y65" s="32">
        <v>0</v>
      </c>
      <c r="Z65" s="33">
        <f t="shared" si="11"/>
        <v>0</v>
      </c>
      <c r="AA65" s="32">
        <v>0</v>
      </c>
      <c r="AB65" s="33">
        <v>20</v>
      </c>
      <c r="AC65" s="32">
        <v>0</v>
      </c>
      <c r="AD65" s="33">
        <v>40</v>
      </c>
      <c r="AE65" s="32"/>
      <c r="AF65" s="33">
        <f t="shared" si="14"/>
        <v>520</v>
      </c>
      <c r="AG65" s="33">
        <v>0</v>
      </c>
      <c r="AH65" s="33">
        <v>0</v>
      </c>
      <c r="AI65" s="32">
        <v>0</v>
      </c>
      <c r="AJ65" s="31">
        <v>28191.364991684022</v>
      </c>
      <c r="AK65" s="31">
        <v>2296.3773927151287</v>
      </c>
      <c r="AL65" s="31">
        <v>30487.742384399149</v>
      </c>
      <c r="AM65" s="30" t="s">
        <v>18</v>
      </c>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c r="FL65" s="21"/>
      <c r="FM65" s="21"/>
      <c r="FN65" s="21"/>
      <c r="FO65" s="21"/>
      <c r="FP65" s="21"/>
      <c r="FQ65" s="21"/>
      <c r="FR65" s="21"/>
      <c r="FS65" s="21"/>
      <c r="FT65" s="21"/>
      <c r="FU65" s="21"/>
      <c r="FV65" s="21"/>
      <c r="FW65" s="21"/>
      <c r="FX65" s="21"/>
      <c r="FY65" s="21"/>
      <c r="FZ65" s="21"/>
      <c r="GA65" s="21"/>
      <c r="GB65" s="21"/>
      <c r="GC65" s="21"/>
      <c r="GD65" s="21"/>
      <c r="GE65" s="21"/>
      <c r="GF65" s="21"/>
      <c r="GG65" s="21"/>
      <c r="GH65" s="21"/>
      <c r="GI65" s="21"/>
      <c r="GJ65" s="21"/>
      <c r="GK65" s="21"/>
      <c r="GL65" s="21"/>
      <c r="GM65" s="21"/>
      <c r="GN65" s="21"/>
      <c r="GO65" s="21"/>
      <c r="GP65" s="21"/>
      <c r="GQ65" s="21"/>
      <c r="GR65" s="21"/>
      <c r="GS65" s="21"/>
      <c r="GT65" s="21"/>
      <c r="GU65" s="21"/>
      <c r="GV65" s="21"/>
      <c r="GW65" s="21"/>
      <c r="GX65" s="21"/>
      <c r="GY65" s="21"/>
      <c r="GZ65" s="21"/>
      <c r="HA65" s="21"/>
      <c r="HB65" s="21"/>
      <c r="HC65" s="21"/>
      <c r="HD65" s="21"/>
      <c r="HE65" s="21"/>
      <c r="HF65" s="21"/>
      <c r="HG65" s="21"/>
      <c r="HH65" s="21"/>
      <c r="HI65" s="21"/>
      <c r="HJ65" s="21"/>
      <c r="HK65" s="21"/>
      <c r="HL65" s="21"/>
      <c r="HM65" s="21"/>
      <c r="HN65" s="21"/>
      <c r="HO65" s="21"/>
      <c r="HP65" s="21"/>
      <c r="HQ65" s="21"/>
      <c r="HR65" s="21"/>
      <c r="HS65" s="21"/>
      <c r="HT65" s="21"/>
      <c r="HU65" s="21"/>
      <c r="HV65" s="21"/>
      <c r="HW65" s="21"/>
      <c r="HX65" s="21"/>
      <c r="HY65" s="21"/>
      <c r="HZ65" s="21"/>
      <c r="IA65" s="21"/>
      <c r="IB65" s="21"/>
      <c r="IC65" s="21"/>
      <c r="ID65" s="21"/>
      <c r="IE65" s="21"/>
      <c r="IF65" s="21"/>
      <c r="IG65" s="21"/>
      <c r="IH65" s="21"/>
      <c r="II65" s="21"/>
      <c r="IJ65" s="21"/>
      <c r="IK65" s="21"/>
      <c r="IL65" s="21"/>
      <c r="IM65" s="21"/>
      <c r="IN65" s="21"/>
      <c r="IO65" s="21"/>
      <c r="IP65" s="21"/>
      <c r="IQ65" s="21"/>
      <c r="IR65" s="21"/>
      <c r="IS65" s="21"/>
      <c r="IT65" s="21"/>
      <c r="IU65" s="21"/>
      <c r="IV65" s="21"/>
      <c r="IW65" s="21"/>
      <c r="IX65" s="21"/>
      <c r="IY65" s="21"/>
      <c r="IZ65" s="21"/>
      <c r="JA65" s="21"/>
      <c r="JB65" s="21"/>
      <c r="JC65" s="21"/>
      <c r="JD65" s="21"/>
      <c r="JE65" s="21"/>
      <c r="JF65" s="21"/>
      <c r="JG65" s="21"/>
      <c r="JH65" s="21"/>
      <c r="JI65" s="21"/>
      <c r="JJ65" s="21"/>
      <c r="JK65" s="21"/>
      <c r="JL65" s="21"/>
      <c r="JM65" s="21"/>
      <c r="JN65" s="21"/>
      <c r="JO65" s="21"/>
      <c r="JP65" s="21"/>
      <c r="JQ65" s="21"/>
      <c r="JR65" s="21"/>
      <c r="JS65" s="21"/>
      <c r="JT65" s="21"/>
      <c r="JU65" s="21"/>
      <c r="JV65" s="21"/>
      <c r="JW65" s="21"/>
      <c r="JX65" s="21"/>
      <c r="JY65" s="21"/>
      <c r="JZ65" s="21"/>
      <c r="KA65" s="21"/>
      <c r="KB65" s="21"/>
      <c r="KC65" s="21"/>
      <c r="KD65" s="21"/>
      <c r="KE65" s="21"/>
      <c r="KF65" s="21"/>
      <c r="KG65" s="21"/>
      <c r="KH65" s="21"/>
      <c r="KI65" s="21"/>
      <c r="KJ65" s="21"/>
      <c r="KK65" s="21"/>
      <c r="KL65" s="21"/>
      <c r="KM65" s="21"/>
      <c r="KN65" s="21"/>
      <c r="KO65" s="21"/>
      <c r="KP65" s="21"/>
      <c r="KQ65" s="21"/>
      <c r="KR65" s="21"/>
      <c r="KS65" s="21"/>
      <c r="KT65" s="21"/>
      <c r="KU65" s="21"/>
      <c r="KV65" s="21"/>
      <c r="KW65" s="21"/>
      <c r="KX65" s="21"/>
      <c r="KY65" s="21"/>
      <c r="KZ65" s="21"/>
      <c r="LA65" s="21"/>
      <c r="LB65" s="21"/>
      <c r="LC65" s="21"/>
      <c r="LD65" s="21"/>
      <c r="LE65" s="21"/>
      <c r="LF65" s="21"/>
      <c r="LG65" s="21"/>
      <c r="LH65" s="21"/>
      <c r="LI65" s="21"/>
      <c r="LJ65" s="21"/>
      <c r="LK65" s="21"/>
      <c r="LL65" s="21"/>
      <c r="LM65" s="21"/>
      <c r="LN65" s="21"/>
      <c r="LO65" s="21"/>
      <c r="LP65" s="21"/>
      <c r="LQ65" s="21"/>
      <c r="LR65" s="21"/>
      <c r="LS65" s="21"/>
      <c r="LT65" s="21"/>
      <c r="LU65" s="21"/>
      <c r="LV65" s="21"/>
      <c r="LW65" s="21"/>
      <c r="LX65" s="21"/>
      <c r="LY65" s="21"/>
      <c r="LZ65" s="21"/>
      <c r="MA65" s="21"/>
      <c r="MB65" s="21"/>
      <c r="MC65" s="21"/>
      <c r="MD65" s="21"/>
      <c r="ME65" s="21"/>
      <c r="MF65" s="21"/>
      <c r="MG65" s="21"/>
      <c r="MH65" s="21"/>
      <c r="MI65" s="21"/>
      <c r="MJ65" s="21"/>
      <c r="MK65" s="21"/>
      <c r="ML65" s="21"/>
      <c r="MM65" s="21"/>
      <c r="MN65" s="21"/>
      <c r="MO65" s="21"/>
      <c r="MP65" s="21"/>
      <c r="MQ65" s="21"/>
      <c r="MR65" s="21"/>
      <c r="MS65" s="21"/>
      <c r="MT65" s="21"/>
      <c r="MU65" s="21"/>
      <c r="MV65" s="21"/>
      <c r="MW65" s="21"/>
      <c r="MX65" s="21"/>
      <c r="MY65" s="21"/>
      <c r="MZ65" s="21"/>
      <c r="NA65" s="21"/>
      <c r="NB65" s="21"/>
      <c r="NC65" s="21"/>
      <c r="ND65" s="21"/>
      <c r="NE65" s="21"/>
      <c r="NF65" s="21"/>
      <c r="NG65" s="21"/>
      <c r="NH65" s="21"/>
      <c r="NI65" s="21"/>
      <c r="NJ65" s="21"/>
      <c r="NK65" s="21"/>
      <c r="NL65" s="21"/>
      <c r="NM65" s="21"/>
      <c r="NN65" s="21"/>
      <c r="NO65" s="21"/>
      <c r="NP65" s="21"/>
      <c r="NQ65" s="21"/>
      <c r="NR65" s="21"/>
      <c r="NS65" s="21"/>
      <c r="NT65" s="21"/>
      <c r="NU65" s="21"/>
      <c r="NV65" s="21"/>
      <c r="NW65" s="21"/>
      <c r="NX65" s="21"/>
      <c r="NY65" s="21"/>
      <c r="NZ65" s="21"/>
      <c r="OA65" s="21"/>
      <c r="OB65" s="21"/>
      <c r="OC65" s="21"/>
      <c r="OD65" s="21"/>
      <c r="OE65" s="21"/>
      <c r="OF65" s="21"/>
      <c r="OG65" s="21"/>
      <c r="OH65" s="21"/>
      <c r="OI65" s="21"/>
      <c r="OJ65" s="21"/>
      <c r="OK65" s="21"/>
      <c r="OL65" s="21"/>
      <c r="OM65" s="21"/>
      <c r="ON65" s="21"/>
      <c r="OO65" s="21"/>
      <c r="OP65" s="21"/>
      <c r="OQ65" s="21"/>
      <c r="OR65" s="21"/>
      <c r="OS65" s="21"/>
      <c r="OT65" s="21"/>
      <c r="OU65" s="21"/>
      <c r="OV65" s="21"/>
      <c r="OW65" s="21"/>
      <c r="OX65" s="21"/>
      <c r="OY65" s="21"/>
      <c r="OZ65" s="21"/>
      <c r="PA65" s="21"/>
      <c r="PB65" s="21"/>
      <c r="PC65" s="21"/>
      <c r="PD65" s="21"/>
      <c r="PE65" s="21"/>
      <c r="PF65" s="21"/>
      <c r="PG65" s="21"/>
      <c r="PH65" s="21"/>
      <c r="PI65" s="21"/>
      <c r="PJ65" s="21"/>
      <c r="PK65" s="21"/>
      <c r="PL65" s="21"/>
      <c r="PM65" s="21"/>
      <c r="PN65" s="21"/>
      <c r="PO65" s="21"/>
      <c r="PP65" s="21"/>
      <c r="PQ65" s="21"/>
      <c r="PR65" s="21"/>
      <c r="PS65" s="21"/>
      <c r="PT65" s="21"/>
      <c r="PU65" s="21"/>
      <c r="PV65" s="21"/>
      <c r="PW65" s="21"/>
      <c r="PX65" s="21"/>
      <c r="PY65" s="21"/>
      <c r="PZ65" s="21"/>
      <c r="QA65" s="21"/>
      <c r="QB65" s="21"/>
      <c r="QC65" s="21"/>
      <c r="QD65" s="21"/>
      <c r="QE65" s="21"/>
      <c r="QF65" s="21"/>
      <c r="QG65" s="21"/>
      <c r="QH65" s="21"/>
      <c r="QI65" s="21"/>
      <c r="QJ65" s="21"/>
      <c r="QK65" s="21"/>
      <c r="QL65" s="21"/>
      <c r="QM65" s="21"/>
      <c r="QN65" s="21"/>
      <c r="QO65" s="21"/>
      <c r="QP65" s="21"/>
      <c r="QQ65" s="21"/>
      <c r="QR65" s="21"/>
      <c r="QS65" s="21"/>
      <c r="QT65" s="21"/>
      <c r="QU65" s="21"/>
      <c r="QV65" s="21"/>
      <c r="QW65" s="21"/>
      <c r="QX65" s="21"/>
      <c r="QY65" s="21"/>
      <c r="QZ65" s="21"/>
      <c r="RA65" s="21"/>
      <c r="RB65" s="21"/>
      <c r="RC65" s="21"/>
      <c r="RD65" s="21"/>
      <c r="RE65" s="21"/>
      <c r="RF65" s="21"/>
      <c r="RG65" s="21"/>
      <c r="RH65" s="21"/>
      <c r="RI65" s="21"/>
      <c r="RJ65" s="21"/>
      <c r="RK65" s="21"/>
      <c r="RL65" s="21"/>
      <c r="RM65" s="21"/>
      <c r="RN65" s="21"/>
      <c r="RO65" s="21"/>
      <c r="RP65" s="21"/>
      <c r="RQ65" s="21"/>
      <c r="RR65" s="21"/>
      <c r="RS65" s="21"/>
      <c r="RT65" s="21"/>
      <c r="RU65" s="21"/>
      <c r="RV65" s="21"/>
      <c r="RW65" s="21"/>
      <c r="RX65" s="21"/>
      <c r="RY65" s="21"/>
      <c r="RZ65" s="21"/>
      <c r="SA65" s="21"/>
      <c r="SB65" s="21"/>
      <c r="SC65" s="21"/>
      <c r="SD65" s="21"/>
      <c r="SE65" s="21"/>
      <c r="SF65" s="21"/>
      <c r="SG65" s="21"/>
      <c r="SH65" s="21"/>
      <c r="SI65" s="21"/>
      <c r="SJ65" s="21"/>
      <c r="SK65" s="21"/>
      <c r="SL65" s="21"/>
      <c r="SM65" s="21"/>
      <c r="SN65" s="21"/>
      <c r="SO65" s="21"/>
      <c r="SP65" s="21"/>
      <c r="SQ65" s="21"/>
      <c r="SR65" s="21"/>
      <c r="SS65" s="21"/>
      <c r="ST65" s="21"/>
      <c r="SU65" s="21"/>
      <c r="SV65" s="21"/>
      <c r="SW65" s="21"/>
      <c r="SX65" s="21"/>
      <c r="SY65" s="21"/>
      <c r="SZ65" s="21"/>
      <c r="TA65" s="21"/>
      <c r="TB65" s="21"/>
      <c r="TC65" s="21"/>
      <c r="TD65" s="21"/>
      <c r="TE65" s="21"/>
      <c r="TF65" s="21"/>
      <c r="TG65" s="21"/>
      <c r="TH65" s="21"/>
      <c r="TI65" s="21"/>
      <c r="TJ65" s="21"/>
      <c r="TK65" s="21"/>
      <c r="TL65" s="21"/>
      <c r="TM65" s="21"/>
      <c r="TN65" s="21"/>
      <c r="TO65" s="21"/>
      <c r="TP65" s="21"/>
      <c r="TQ65" s="21"/>
      <c r="TR65" s="21"/>
      <c r="TS65" s="21"/>
      <c r="TT65" s="21"/>
      <c r="TU65" s="21"/>
      <c r="TV65" s="21"/>
      <c r="TW65" s="21"/>
      <c r="TX65" s="21"/>
      <c r="TY65" s="21"/>
      <c r="TZ65" s="21"/>
      <c r="UA65" s="21"/>
      <c r="UB65" s="21"/>
      <c r="UC65" s="21"/>
      <c r="UD65" s="21"/>
      <c r="UE65" s="21"/>
      <c r="UF65" s="21"/>
      <c r="UG65" s="21"/>
      <c r="UH65" s="21"/>
      <c r="UI65" s="21"/>
      <c r="UJ65" s="21"/>
      <c r="UK65" s="21"/>
      <c r="UL65" s="21"/>
      <c r="UM65" s="21"/>
      <c r="UN65" s="21"/>
      <c r="UO65" s="21"/>
      <c r="UP65" s="21"/>
      <c r="UQ65" s="21"/>
      <c r="UR65" s="21"/>
      <c r="US65" s="21"/>
      <c r="UT65" s="21"/>
      <c r="UU65" s="21"/>
      <c r="UV65" s="21"/>
      <c r="UW65" s="21"/>
      <c r="UX65" s="21"/>
      <c r="UY65" s="21"/>
      <c r="UZ65" s="21"/>
      <c r="VA65" s="21"/>
      <c r="VB65" s="21"/>
      <c r="VC65" s="21"/>
      <c r="VD65" s="21"/>
      <c r="VE65" s="21"/>
      <c r="VF65" s="21"/>
      <c r="VG65" s="21"/>
      <c r="VH65" s="21"/>
      <c r="VI65" s="21"/>
      <c r="VJ65" s="21"/>
      <c r="VK65" s="21"/>
      <c r="VL65" s="21"/>
      <c r="VM65" s="21"/>
      <c r="VN65" s="21"/>
      <c r="VO65" s="21"/>
      <c r="VP65" s="21"/>
      <c r="VQ65" s="21"/>
      <c r="VR65" s="21"/>
      <c r="VS65" s="21"/>
      <c r="VT65" s="21"/>
      <c r="VU65" s="21"/>
      <c r="VV65" s="21"/>
      <c r="VW65" s="21"/>
      <c r="VX65" s="21"/>
      <c r="VY65" s="21"/>
      <c r="VZ65" s="21"/>
      <c r="WA65" s="21"/>
      <c r="WB65" s="21"/>
      <c r="WC65" s="21"/>
      <c r="WD65" s="21"/>
      <c r="WE65" s="21"/>
      <c r="WF65" s="21"/>
      <c r="WG65" s="21"/>
      <c r="WH65" s="21"/>
      <c r="WI65" s="21"/>
      <c r="WJ65" s="21"/>
      <c r="WK65" s="21"/>
      <c r="WL65" s="21"/>
      <c r="WM65" s="21"/>
      <c r="WN65" s="21"/>
      <c r="WO65" s="21"/>
      <c r="WP65" s="21"/>
      <c r="WQ65" s="21"/>
      <c r="WR65" s="21"/>
      <c r="WS65" s="21"/>
      <c r="WT65" s="21"/>
      <c r="WU65" s="21"/>
      <c r="WV65" s="21"/>
      <c r="WW65" s="21"/>
      <c r="WX65" s="21"/>
      <c r="WY65" s="21"/>
      <c r="WZ65" s="21"/>
      <c r="XA65" s="21"/>
      <c r="XB65" s="21"/>
      <c r="XC65" s="21"/>
      <c r="XD65" s="21"/>
      <c r="XE65" s="21"/>
      <c r="XF65" s="21"/>
      <c r="XG65" s="21"/>
      <c r="XH65" s="21"/>
      <c r="XI65" s="21"/>
      <c r="XJ65" s="21"/>
      <c r="XK65" s="21"/>
      <c r="XL65" s="21"/>
      <c r="XM65" s="21"/>
      <c r="XN65" s="21"/>
      <c r="XO65" s="21"/>
      <c r="XP65" s="21"/>
      <c r="XQ65" s="21"/>
      <c r="XR65" s="21"/>
      <c r="XS65" s="21"/>
      <c r="XT65" s="21"/>
      <c r="XU65" s="21"/>
      <c r="XV65" s="21"/>
      <c r="XW65" s="21"/>
      <c r="XX65" s="21"/>
      <c r="XY65" s="21"/>
      <c r="XZ65" s="21"/>
      <c r="YA65" s="21"/>
      <c r="YB65" s="21"/>
      <c r="YC65" s="21"/>
      <c r="YD65" s="21"/>
      <c r="YE65" s="21"/>
      <c r="YF65" s="21"/>
      <c r="YG65" s="21"/>
      <c r="YH65" s="21"/>
      <c r="YI65" s="21"/>
      <c r="YJ65" s="21"/>
      <c r="YK65" s="21"/>
      <c r="YL65" s="21"/>
      <c r="YM65" s="21"/>
      <c r="YN65" s="21"/>
      <c r="YO65" s="21"/>
      <c r="YP65" s="21"/>
      <c r="YQ65" s="21"/>
      <c r="YR65" s="21"/>
      <c r="YS65" s="21"/>
      <c r="YT65" s="21"/>
      <c r="YU65" s="21"/>
      <c r="YV65" s="21"/>
      <c r="YW65" s="21"/>
      <c r="YX65" s="21"/>
      <c r="YY65" s="21"/>
      <c r="YZ65" s="21"/>
      <c r="ZA65" s="21"/>
      <c r="ZB65" s="21"/>
      <c r="ZC65" s="21"/>
      <c r="ZD65" s="21"/>
      <c r="ZE65" s="21"/>
      <c r="ZF65" s="21"/>
      <c r="ZG65" s="21"/>
      <c r="ZH65" s="21"/>
      <c r="ZI65" s="21"/>
      <c r="ZJ65" s="21"/>
      <c r="ZK65" s="21"/>
      <c r="ZL65" s="21"/>
      <c r="ZM65" s="21"/>
      <c r="ZN65" s="21"/>
      <c r="ZO65" s="21"/>
      <c r="ZP65" s="21"/>
      <c r="ZQ65" s="21"/>
      <c r="ZR65" s="21"/>
      <c r="ZS65" s="21"/>
      <c r="ZT65" s="21"/>
      <c r="ZU65" s="21"/>
      <c r="ZV65" s="21"/>
      <c r="ZW65" s="21"/>
      <c r="ZX65" s="21"/>
      <c r="ZY65" s="21"/>
      <c r="ZZ65" s="21"/>
      <c r="AAA65" s="21"/>
      <c r="AAB65" s="21"/>
      <c r="AAC65" s="21"/>
      <c r="AAD65" s="21"/>
      <c r="AAE65" s="21"/>
      <c r="AAF65" s="21"/>
      <c r="AAG65" s="21"/>
      <c r="AAH65" s="21"/>
      <c r="AAI65" s="21"/>
      <c r="AAJ65" s="21"/>
      <c r="AAK65" s="21"/>
      <c r="AAL65" s="21"/>
      <c r="AAM65" s="21"/>
      <c r="AAN65" s="21"/>
      <c r="AAO65" s="21"/>
      <c r="AAP65" s="21"/>
      <c r="AAQ65" s="21"/>
      <c r="AAR65" s="21"/>
      <c r="AAS65" s="21"/>
      <c r="AAT65" s="21"/>
      <c r="AAU65" s="21"/>
      <c r="AAV65" s="21"/>
      <c r="AAW65" s="21"/>
      <c r="AAX65" s="21"/>
      <c r="AAY65" s="21"/>
      <c r="AAZ65" s="21"/>
      <c r="ABA65" s="21"/>
      <c r="ABB65" s="21"/>
      <c r="ABC65" s="21"/>
      <c r="ABD65" s="21"/>
      <c r="ABE65" s="21"/>
      <c r="ABF65" s="21"/>
      <c r="ABG65" s="21"/>
      <c r="ABH65" s="21"/>
      <c r="ABI65" s="21"/>
      <c r="ABJ65" s="21"/>
      <c r="ABK65" s="21"/>
      <c r="ABL65" s="21"/>
      <c r="ABM65" s="21"/>
      <c r="ABN65" s="21"/>
      <c r="ABO65" s="21"/>
      <c r="ABP65" s="21"/>
      <c r="ABQ65" s="21"/>
      <c r="ABR65" s="21"/>
      <c r="ABS65" s="21"/>
      <c r="ABT65" s="21"/>
      <c r="ABU65" s="21"/>
      <c r="ABV65" s="21"/>
      <c r="ABW65" s="21"/>
      <c r="ABX65" s="21"/>
      <c r="ABY65" s="21"/>
      <c r="ABZ65" s="21"/>
      <c r="ACA65" s="21"/>
      <c r="ACB65" s="21"/>
      <c r="ACC65" s="21"/>
      <c r="ACD65" s="21"/>
      <c r="ACE65" s="21"/>
      <c r="ACF65" s="21"/>
      <c r="ACG65" s="21"/>
      <c r="ACH65" s="21"/>
      <c r="ACI65" s="21"/>
      <c r="ACJ65" s="21"/>
      <c r="ACK65" s="21"/>
      <c r="ACL65" s="21"/>
      <c r="ACM65" s="21"/>
      <c r="ACN65" s="21"/>
      <c r="ACO65" s="21"/>
      <c r="ACP65" s="21"/>
      <c r="ACQ65" s="21"/>
      <c r="ACR65" s="21"/>
      <c r="ACS65" s="21"/>
      <c r="ACT65" s="21"/>
      <c r="ACU65" s="21"/>
      <c r="ACV65" s="21"/>
      <c r="ACW65" s="21"/>
      <c r="ACX65" s="21"/>
      <c r="ACY65" s="21"/>
      <c r="ACZ65" s="21"/>
      <c r="ADA65" s="21"/>
      <c r="ADB65" s="21"/>
      <c r="ADC65" s="21"/>
      <c r="ADD65" s="21"/>
      <c r="ADE65" s="21"/>
      <c r="ADF65" s="21"/>
      <c r="ADG65" s="21"/>
      <c r="ADH65" s="21"/>
      <c r="ADI65" s="21"/>
      <c r="ADJ65" s="21"/>
      <c r="ADK65" s="21"/>
      <c r="ADL65" s="21"/>
      <c r="ADM65" s="21"/>
      <c r="ADN65" s="21"/>
      <c r="ADO65" s="21"/>
      <c r="ADP65" s="21"/>
      <c r="ADQ65" s="21"/>
      <c r="ADR65" s="21"/>
      <c r="ADS65" s="21"/>
      <c r="ADT65" s="21"/>
      <c r="ADU65" s="21"/>
      <c r="ADV65" s="21"/>
      <c r="ADW65" s="21"/>
      <c r="ADX65" s="21"/>
      <c r="ADY65" s="21"/>
      <c r="ADZ65" s="21"/>
      <c r="AEA65" s="21"/>
      <c r="AEB65" s="21"/>
      <c r="AEC65" s="21"/>
      <c r="AED65" s="21"/>
      <c r="AEE65" s="21"/>
      <c r="AEF65" s="21"/>
      <c r="AEG65" s="21"/>
    </row>
    <row r="66" spans="1:813" s="93" customFormat="1" ht="75" x14ac:dyDescent="0.25">
      <c r="A66" s="92">
        <v>22</v>
      </c>
      <c r="B66" s="63" t="s">
        <v>375</v>
      </c>
      <c r="C66" s="80" t="s">
        <v>381</v>
      </c>
      <c r="D66" s="63" t="s">
        <v>380</v>
      </c>
      <c r="E66" s="40" t="s">
        <v>379</v>
      </c>
      <c r="F66" s="125">
        <v>10.997902684563758</v>
      </c>
      <c r="G66" s="32">
        <f>73/2</f>
        <v>36.5</v>
      </c>
      <c r="H66" s="33">
        <f t="shared" si="2"/>
        <v>400</v>
      </c>
      <c r="I66" s="32">
        <f>52/2</f>
        <v>26</v>
      </c>
      <c r="J66" s="33">
        <f t="shared" ref="J66:J73" si="15">ROUND($F66*I66,-1)</f>
        <v>290</v>
      </c>
      <c r="K66" s="32">
        <f>92/2</f>
        <v>46</v>
      </c>
      <c r="L66" s="33">
        <f t="shared" ref="L66:L73" si="16">ROUND($F66*K66,-1)</f>
        <v>510</v>
      </c>
      <c r="M66" s="32">
        <f>266/2</f>
        <v>133</v>
      </c>
      <c r="N66" s="33">
        <f t="shared" ref="N66:N73" si="17">ROUND($F66*M66,-1)</f>
        <v>1460</v>
      </c>
      <c r="O66" s="32">
        <f>60/2</f>
        <v>30</v>
      </c>
      <c r="P66" s="33">
        <f t="shared" si="6"/>
        <v>330</v>
      </c>
      <c r="Q66" s="32">
        <f>182/2</f>
        <v>91</v>
      </c>
      <c r="R66" s="33">
        <f t="shared" si="7"/>
        <v>1000</v>
      </c>
      <c r="S66" s="32">
        <f>224/2</f>
        <v>112</v>
      </c>
      <c r="T66" s="33">
        <f>ROUND($F66*S66,-1)</f>
        <v>1230</v>
      </c>
      <c r="U66" s="32">
        <f>58/2</f>
        <v>29</v>
      </c>
      <c r="V66" s="33">
        <f t="shared" ref="V66:V73" si="18">ROUND($F66*U66,-1)</f>
        <v>320</v>
      </c>
      <c r="W66" s="32">
        <f>20/2</f>
        <v>10</v>
      </c>
      <c r="X66" s="33">
        <f t="shared" si="10"/>
        <v>110</v>
      </c>
      <c r="Y66" s="32">
        <f>149/2</f>
        <v>74.5</v>
      </c>
      <c r="Z66" s="33">
        <f t="shared" si="11"/>
        <v>820</v>
      </c>
      <c r="AA66" s="32">
        <f>82/2</f>
        <v>41</v>
      </c>
      <c r="AB66" s="33">
        <f t="shared" ref="AB66:AB73" si="19">ROUND($F66*AA66,-1)</f>
        <v>450</v>
      </c>
      <c r="AC66" s="32">
        <f>65/2</f>
        <v>32.5</v>
      </c>
      <c r="AD66" s="33">
        <f t="shared" ref="AD66:AD73" si="20">ROUND($F66*AC66,-1)</f>
        <v>360</v>
      </c>
      <c r="AE66" s="32"/>
      <c r="AF66" s="33">
        <f t="shared" si="14"/>
        <v>7280</v>
      </c>
      <c r="AG66" s="33">
        <v>0</v>
      </c>
      <c r="AH66" s="33">
        <v>0</v>
      </c>
      <c r="AI66" s="32">
        <v>0</v>
      </c>
      <c r="AJ66" s="31">
        <v>398304.82821517537</v>
      </c>
      <c r="AK66" s="31">
        <v>32444.62278404825</v>
      </c>
      <c r="AL66" s="31">
        <v>430749.45099922363</v>
      </c>
      <c r="AM66" s="30" t="s">
        <v>18</v>
      </c>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c r="FT66" s="21"/>
      <c r="FU66" s="21"/>
      <c r="FV66" s="21"/>
      <c r="FW66" s="21"/>
      <c r="FX66" s="21"/>
      <c r="FY66" s="21"/>
      <c r="FZ66" s="21"/>
      <c r="GA66" s="21"/>
      <c r="GB66" s="21"/>
      <c r="GC66" s="21"/>
      <c r="GD66" s="21"/>
      <c r="GE66" s="21"/>
      <c r="GF66" s="21"/>
      <c r="GG66" s="21"/>
      <c r="GH66" s="21"/>
      <c r="GI66" s="21"/>
      <c r="GJ66" s="21"/>
      <c r="GK66" s="21"/>
      <c r="GL66" s="21"/>
      <c r="GM66" s="21"/>
      <c r="GN66" s="21"/>
      <c r="GO66" s="21"/>
      <c r="GP66" s="21"/>
      <c r="GQ66" s="21"/>
      <c r="GR66" s="21"/>
      <c r="GS66" s="21"/>
      <c r="GT66" s="21"/>
      <c r="GU66" s="21"/>
      <c r="GV66" s="21"/>
      <c r="GW66" s="21"/>
      <c r="GX66" s="21"/>
      <c r="GY66" s="21"/>
      <c r="GZ66" s="21"/>
      <c r="HA66" s="21"/>
      <c r="HB66" s="21"/>
      <c r="HC66" s="21"/>
      <c r="HD66" s="21"/>
      <c r="HE66" s="21"/>
      <c r="HF66" s="21"/>
      <c r="HG66" s="21"/>
      <c r="HH66" s="21"/>
      <c r="HI66" s="21"/>
      <c r="HJ66" s="21"/>
      <c r="HK66" s="21"/>
      <c r="HL66" s="21"/>
      <c r="HM66" s="21"/>
      <c r="HN66" s="21"/>
      <c r="HO66" s="21"/>
      <c r="HP66" s="21"/>
      <c r="HQ66" s="21"/>
      <c r="HR66" s="21"/>
      <c r="HS66" s="21"/>
      <c r="HT66" s="21"/>
      <c r="HU66" s="21"/>
      <c r="HV66" s="21"/>
      <c r="HW66" s="21"/>
      <c r="HX66" s="21"/>
      <c r="HY66" s="21"/>
      <c r="HZ66" s="21"/>
      <c r="IA66" s="21"/>
      <c r="IB66" s="21"/>
      <c r="IC66" s="21"/>
      <c r="ID66" s="21"/>
      <c r="IE66" s="21"/>
      <c r="IF66" s="21"/>
      <c r="IG66" s="21"/>
      <c r="IH66" s="21"/>
      <c r="II66" s="21"/>
      <c r="IJ66" s="21"/>
      <c r="IK66" s="21"/>
      <c r="IL66" s="21"/>
      <c r="IM66" s="21"/>
      <c r="IN66" s="21"/>
      <c r="IO66" s="21"/>
      <c r="IP66" s="21"/>
      <c r="IQ66" s="21"/>
      <c r="IR66" s="21"/>
      <c r="IS66" s="21"/>
      <c r="IT66" s="21"/>
      <c r="IU66" s="21"/>
      <c r="IV66" s="21"/>
      <c r="IW66" s="21"/>
      <c r="IX66" s="21"/>
      <c r="IY66" s="21"/>
      <c r="IZ66" s="21"/>
      <c r="JA66" s="21"/>
      <c r="JB66" s="21"/>
      <c r="JC66" s="21"/>
      <c r="JD66" s="21"/>
      <c r="JE66" s="21"/>
      <c r="JF66" s="21"/>
      <c r="JG66" s="21"/>
      <c r="JH66" s="21"/>
      <c r="JI66" s="21"/>
      <c r="JJ66" s="21"/>
      <c r="JK66" s="21"/>
      <c r="JL66" s="21"/>
      <c r="JM66" s="21"/>
      <c r="JN66" s="21"/>
      <c r="JO66" s="21"/>
      <c r="JP66" s="21"/>
      <c r="JQ66" s="21"/>
      <c r="JR66" s="21"/>
      <c r="JS66" s="21"/>
      <c r="JT66" s="21"/>
      <c r="JU66" s="21"/>
      <c r="JV66" s="21"/>
      <c r="JW66" s="21"/>
      <c r="JX66" s="21"/>
      <c r="JY66" s="21"/>
      <c r="JZ66" s="21"/>
      <c r="KA66" s="21"/>
      <c r="KB66" s="21"/>
      <c r="KC66" s="21"/>
      <c r="KD66" s="21"/>
      <c r="KE66" s="21"/>
      <c r="KF66" s="21"/>
      <c r="KG66" s="21"/>
      <c r="KH66" s="21"/>
      <c r="KI66" s="21"/>
      <c r="KJ66" s="21"/>
      <c r="KK66" s="21"/>
      <c r="KL66" s="21"/>
      <c r="KM66" s="21"/>
      <c r="KN66" s="21"/>
      <c r="KO66" s="21"/>
      <c r="KP66" s="21"/>
      <c r="KQ66" s="21"/>
      <c r="KR66" s="21"/>
      <c r="KS66" s="21"/>
      <c r="KT66" s="21"/>
      <c r="KU66" s="21"/>
      <c r="KV66" s="21"/>
      <c r="KW66" s="21"/>
      <c r="KX66" s="21"/>
      <c r="KY66" s="21"/>
      <c r="KZ66" s="21"/>
      <c r="LA66" s="21"/>
      <c r="LB66" s="21"/>
      <c r="LC66" s="21"/>
      <c r="LD66" s="21"/>
      <c r="LE66" s="21"/>
      <c r="LF66" s="21"/>
      <c r="LG66" s="21"/>
      <c r="LH66" s="21"/>
      <c r="LI66" s="21"/>
      <c r="LJ66" s="21"/>
      <c r="LK66" s="21"/>
      <c r="LL66" s="21"/>
      <c r="LM66" s="21"/>
      <c r="LN66" s="21"/>
      <c r="LO66" s="21"/>
      <c r="LP66" s="21"/>
      <c r="LQ66" s="21"/>
      <c r="LR66" s="21"/>
      <c r="LS66" s="21"/>
      <c r="LT66" s="21"/>
      <c r="LU66" s="21"/>
      <c r="LV66" s="21"/>
      <c r="LW66" s="21"/>
      <c r="LX66" s="21"/>
      <c r="LY66" s="21"/>
      <c r="LZ66" s="21"/>
      <c r="MA66" s="21"/>
      <c r="MB66" s="21"/>
      <c r="MC66" s="21"/>
      <c r="MD66" s="21"/>
      <c r="ME66" s="21"/>
      <c r="MF66" s="21"/>
      <c r="MG66" s="21"/>
      <c r="MH66" s="21"/>
      <c r="MI66" s="21"/>
      <c r="MJ66" s="21"/>
      <c r="MK66" s="21"/>
      <c r="ML66" s="21"/>
      <c r="MM66" s="21"/>
      <c r="MN66" s="21"/>
      <c r="MO66" s="21"/>
      <c r="MP66" s="21"/>
      <c r="MQ66" s="21"/>
      <c r="MR66" s="21"/>
      <c r="MS66" s="21"/>
      <c r="MT66" s="21"/>
      <c r="MU66" s="21"/>
      <c r="MV66" s="21"/>
      <c r="MW66" s="21"/>
      <c r="MX66" s="21"/>
      <c r="MY66" s="21"/>
      <c r="MZ66" s="21"/>
      <c r="NA66" s="21"/>
      <c r="NB66" s="21"/>
      <c r="NC66" s="21"/>
      <c r="ND66" s="21"/>
      <c r="NE66" s="21"/>
      <c r="NF66" s="21"/>
      <c r="NG66" s="21"/>
      <c r="NH66" s="21"/>
      <c r="NI66" s="21"/>
      <c r="NJ66" s="21"/>
      <c r="NK66" s="21"/>
      <c r="NL66" s="21"/>
      <c r="NM66" s="21"/>
      <c r="NN66" s="21"/>
      <c r="NO66" s="21"/>
      <c r="NP66" s="21"/>
      <c r="NQ66" s="21"/>
      <c r="NR66" s="21"/>
      <c r="NS66" s="21"/>
      <c r="NT66" s="21"/>
      <c r="NU66" s="21"/>
      <c r="NV66" s="21"/>
      <c r="NW66" s="21"/>
      <c r="NX66" s="21"/>
      <c r="NY66" s="21"/>
      <c r="NZ66" s="21"/>
      <c r="OA66" s="21"/>
      <c r="OB66" s="21"/>
      <c r="OC66" s="21"/>
      <c r="OD66" s="21"/>
      <c r="OE66" s="21"/>
      <c r="OF66" s="21"/>
      <c r="OG66" s="21"/>
      <c r="OH66" s="21"/>
      <c r="OI66" s="21"/>
      <c r="OJ66" s="21"/>
      <c r="OK66" s="21"/>
      <c r="OL66" s="21"/>
      <c r="OM66" s="21"/>
      <c r="ON66" s="21"/>
      <c r="OO66" s="21"/>
      <c r="OP66" s="21"/>
      <c r="OQ66" s="21"/>
      <c r="OR66" s="21"/>
      <c r="OS66" s="21"/>
      <c r="OT66" s="21"/>
      <c r="OU66" s="21"/>
      <c r="OV66" s="21"/>
      <c r="OW66" s="21"/>
      <c r="OX66" s="21"/>
      <c r="OY66" s="21"/>
      <c r="OZ66" s="21"/>
      <c r="PA66" s="21"/>
      <c r="PB66" s="21"/>
      <c r="PC66" s="21"/>
      <c r="PD66" s="21"/>
      <c r="PE66" s="21"/>
      <c r="PF66" s="21"/>
      <c r="PG66" s="21"/>
      <c r="PH66" s="21"/>
      <c r="PI66" s="21"/>
      <c r="PJ66" s="21"/>
      <c r="PK66" s="21"/>
      <c r="PL66" s="21"/>
      <c r="PM66" s="21"/>
      <c r="PN66" s="21"/>
      <c r="PO66" s="21"/>
      <c r="PP66" s="21"/>
      <c r="PQ66" s="21"/>
      <c r="PR66" s="21"/>
      <c r="PS66" s="21"/>
      <c r="PT66" s="21"/>
      <c r="PU66" s="21"/>
      <c r="PV66" s="21"/>
      <c r="PW66" s="21"/>
      <c r="PX66" s="21"/>
      <c r="PY66" s="21"/>
      <c r="PZ66" s="21"/>
      <c r="QA66" s="21"/>
      <c r="QB66" s="21"/>
      <c r="QC66" s="21"/>
      <c r="QD66" s="21"/>
      <c r="QE66" s="21"/>
      <c r="QF66" s="21"/>
      <c r="QG66" s="21"/>
      <c r="QH66" s="21"/>
      <c r="QI66" s="21"/>
      <c r="QJ66" s="21"/>
      <c r="QK66" s="21"/>
      <c r="QL66" s="21"/>
      <c r="QM66" s="21"/>
      <c r="QN66" s="21"/>
      <c r="QO66" s="21"/>
      <c r="QP66" s="21"/>
      <c r="QQ66" s="21"/>
      <c r="QR66" s="21"/>
      <c r="QS66" s="21"/>
      <c r="QT66" s="21"/>
      <c r="QU66" s="21"/>
      <c r="QV66" s="21"/>
      <c r="QW66" s="21"/>
      <c r="QX66" s="21"/>
      <c r="QY66" s="21"/>
      <c r="QZ66" s="21"/>
      <c r="RA66" s="21"/>
      <c r="RB66" s="21"/>
      <c r="RC66" s="21"/>
      <c r="RD66" s="21"/>
      <c r="RE66" s="21"/>
      <c r="RF66" s="21"/>
      <c r="RG66" s="21"/>
      <c r="RH66" s="21"/>
      <c r="RI66" s="21"/>
      <c r="RJ66" s="21"/>
      <c r="RK66" s="21"/>
      <c r="RL66" s="21"/>
      <c r="RM66" s="21"/>
      <c r="RN66" s="21"/>
      <c r="RO66" s="21"/>
      <c r="RP66" s="21"/>
      <c r="RQ66" s="21"/>
      <c r="RR66" s="21"/>
      <c r="RS66" s="21"/>
      <c r="RT66" s="21"/>
      <c r="RU66" s="21"/>
      <c r="RV66" s="21"/>
      <c r="RW66" s="21"/>
      <c r="RX66" s="21"/>
      <c r="RY66" s="21"/>
      <c r="RZ66" s="21"/>
      <c r="SA66" s="21"/>
      <c r="SB66" s="21"/>
      <c r="SC66" s="21"/>
      <c r="SD66" s="21"/>
      <c r="SE66" s="21"/>
      <c r="SF66" s="21"/>
      <c r="SG66" s="21"/>
      <c r="SH66" s="21"/>
      <c r="SI66" s="21"/>
      <c r="SJ66" s="21"/>
      <c r="SK66" s="21"/>
      <c r="SL66" s="21"/>
      <c r="SM66" s="21"/>
      <c r="SN66" s="21"/>
      <c r="SO66" s="21"/>
      <c r="SP66" s="21"/>
      <c r="SQ66" s="21"/>
      <c r="SR66" s="21"/>
      <c r="SS66" s="21"/>
      <c r="ST66" s="21"/>
      <c r="SU66" s="21"/>
      <c r="SV66" s="21"/>
      <c r="SW66" s="21"/>
      <c r="SX66" s="21"/>
      <c r="SY66" s="21"/>
      <c r="SZ66" s="21"/>
      <c r="TA66" s="21"/>
      <c r="TB66" s="21"/>
      <c r="TC66" s="21"/>
      <c r="TD66" s="21"/>
      <c r="TE66" s="21"/>
      <c r="TF66" s="21"/>
      <c r="TG66" s="21"/>
      <c r="TH66" s="21"/>
      <c r="TI66" s="21"/>
      <c r="TJ66" s="21"/>
      <c r="TK66" s="21"/>
      <c r="TL66" s="21"/>
      <c r="TM66" s="21"/>
      <c r="TN66" s="21"/>
      <c r="TO66" s="21"/>
      <c r="TP66" s="21"/>
      <c r="TQ66" s="21"/>
      <c r="TR66" s="21"/>
      <c r="TS66" s="21"/>
      <c r="TT66" s="21"/>
      <c r="TU66" s="21"/>
      <c r="TV66" s="21"/>
      <c r="TW66" s="21"/>
      <c r="TX66" s="21"/>
      <c r="TY66" s="21"/>
      <c r="TZ66" s="21"/>
      <c r="UA66" s="21"/>
      <c r="UB66" s="21"/>
      <c r="UC66" s="21"/>
      <c r="UD66" s="21"/>
      <c r="UE66" s="21"/>
      <c r="UF66" s="21"/>
      <c r="UG66" s="21"/>
      <c r="UH66" s="21"/>
      <c r="UI66" s="21"/>
      <c r="UJ66" s="21"/>
      <c r="UK66" s="21"/>
      <c r="UL66" s="21"/>
      <c r="UM66" s="21"/>
      <c r="UN66" s="21"/>
      <c r="UO66" s="21"/>
      <c r="UP66" s="21"/>
      <c r="UQ66" s="21"/>
      <c r="UR66" s="21"/>
      <c r="US66" s="21"/>
      <c r="UT66" s="21"/>
      <c r="UU66" s="21"/>
      <c r="UV66" s="21"/>
      <c r="UW66" s="21"/>
      <c r="UX66" s="21"/>
      <c r="UY66" s="21"/>
      <c r="UZ66" s="21"/>
      <c r="VA66" s="21"/>
      <c r="VB66" s="21"/>
      <c r="VC66" s="21"/>
      <c r="VD66" s="21"/>
      <c r="VE66" s="21"/>
      <c r="VF66" s="21"/>
      <c r="VG66" s="21"/>
      <c r="VH66" s="21"/>
      <c r="VI66" s="21"/>
      <c r="VJ66" s="21"/>
      <c r="VK66" s="21"/>
      <c r="VL66" s="21"/>
      <c r="VM66" s="21"/>
      <c r="VN66" s="21"/>
      <c r="VO66" s="21"/>
      <c r="VP66" s="21"/>
      <c r="VQ66" s="21"/>
      <c r="VR66" s="21"/>
      <c r="VS66" s="21"/>
      <c r="VT66" s="21"/>
      <c r="VU66" s="21"/>
      <c r="VV66" s="21"/>
      <c r="VW66" s="21"/>
      <c r="VX66" s="21"/>
      <c r="VY66" s="21"/>
      <c r="VZ66" s="21"/>
      <c r="WA66" s="21"/>
      <c r="WB66" s="21"/>
      <c r="WC66" s="21"/>
      <c r="WD66" s="21"/>
      <c r="WE66" s="21"/>
      <c r="WF66" s="21"/>
      <c r="WG66" s="21"/>
      <c r="WH66" s="21"/>
      <c r="WI66" s="21"/>
      <c r="WJ66" s="21"/>
      <c r="WK66" s="21"/>
      <c r="WL66" s="21"/>
      <c r="WM66" s="21"/>
      <c r="WN66" s="21"/>
      <c r="WO66" s="21"/>
      <c r="WP66" s="21"/>
      <c r="WQ66" s="21"/>
      <c r="WR66" s="21"/>
      <c r="WS66" s="21"/>
      <c r="WT66" s="21"/>
      <c r="WU66" s="21"/>
      <c r="WV66" s="21"/>
      <c r="WW66" s="21"/>
      <c r="WX66" s="21"/>
      <c r="WY66" s="21"/>
      <c r="WZ66" s="21"/>
      <c r="XA66" s="21"/>
      <c r="XB66" s="21"/>
      <c r="XC66" s="21"/>
      <c r="XD66" s="21"/>
      <c r="XE66" s="21"/>
      <c r="XF66" s="21"/>
      <c r="XG66" s="21"/>
      <c r="XH66" s="21"/>
      <c r="XI66" s="21"/>
      <c r="XJ66" s="21"/>
      <c r="XK66" s="21"/>
      <c r="XL66" s="21"/>
      <c r="XM66" s="21"/>
      <c r="XN66" s="21"/>
      <c r="XO66" s="21"/>
      <c r="XP66" s="21"/>
      <c r="XQ66" s="21"/>
      <c r="XR66" s="21"/>
      <c r="XS66" s="21"/>
      <c r="XT66" s="21"/>
      <c r="XU66" s="21"/>
      <c r="XV66" s="21"/>
      <c r="XW66" s="21"/>
      <c r="XX66" s="21"/>
      <c r="XY66" s="21"/>
      <c r="XZ66" s="21"/>
      <c r="YA66" s="21"/>
      <c r="YB66" s="21"/>
      <c r="YC66" s="21"/>
      <c r="YD66" s="21"/>
      <c r="YE66" s="21"/>
      <c r="YF66" s="21"/>
      <c r="YG66" s="21"/>
      <c r="YH66" s="21"/>
      <c r="YI66" s="21"/>
      <c r="YJ66" s="21"/>
      <c r="YK66" s="21"/>
      <c r="YL66" s="21"/>
      <c r="YM66" s="21"/>
      <c r="YN66" s="21"/>
      <c r="YO66" s="21"/>
      <c r="YP66" s="21"/>
      <c r="YQ66" s="21"/>
      <c r="YR66" s="21"/>
      <c r="YS66" s="21"/>
      <c r="YT66" s="21"/>
      <c r="YU66" s="21"/>
      <c r="YV66" s="21"/>
      <c r="YW66" s="21"/>
      <c r="YX66" s="21"/>
      <c r="YY66" s="21"/>
      <c r="YZ66" s="21"/>
      <c r="ZA66" s="21"/>
      <c r="ZB66" s="21"/>
      <c r="ZC66" s="21"/>
      <c r="ZD66" s="21"/>
      <c r="ZE66" s="21"/>
      <c r="ZF66" s="21"/>
      <c r="ZG66" s="21"/>
      <c r="ZH66" s="21"/>
      <c r="ZI66" s="21"/>
      <c r="ZJ66" s="21"/>
      <c r="ZK66" s="21"/>
      <c r="ZL66" s="21"/>
      <c r="ZM66" s="21"/>
      <c r="ZN66" s="21"/>
      <c r="ZO66" s="21"/>
      <c r="ZP66" s="21"/>
      <c r="ZQ66" s="21"/>
      <c r="ZR66" s="21"/>
      <c r="ZS66" s="21"/>
      <c r="ZT66" s="21"/>
      <c r="ZU66" s="21"/>
      <c r="ZV66" s="21"/>
      <c r="ZW66" s="21"/>
      <c r="ZX66" s="21"/>
      <c r="ZY66" s="21"/>
      <c r="ZZ66" s="21"/>
      <c r="AAA66" s="21"/>
      <c r="AAB66" s="21"/>
      <c r="AAC66" s="21"/>
      <c r="AAD66" s="21"/>
      <c r="AAE66" s="21"/>
      <c r="AAF66" s="21"/>
      <c r="AAG66" s="21"/>
      <c r="AAH66" s="21"/>
      <c r="AAI66" s="21"/>
      <c r="AAJ66" s="21"/>
      <c r="AAK66" s="21"/>
      <c r="AAL66" s="21"/>
      <c r="AAM66" s="21"/>
      <c r="AAN66" s="21"/>
      <c r="AAO66" s="21"/>
      <c r="AAP66" s="21"/>
      <c r="AAQ66" s="21"/>
      <c r="AAR66" s="21"/>
      <c r="AAS66" s="21"/>
      <c r="AAT66" s="21"/>
      <c r="AAU66" s="21"/>
      <c r="AAV66" s="21"/>
      <c r="AAW66" s="21"/>
      <c r="AAX66" s="21"/>
      <c r="AAY66" s="21"/>
      <c r="AAZ66" s="21"/>
      <c r="ABA66" s="21"/>
      <c r="ABB66" s="21"/>
      <c r="ABC66" s="21"/>
      <c r="ABD66" s="21"/>
      <c r="ABE66" s="21"/>
      <c r="ABF66" s="21"/>
      <c r="ABG66" s="21"/>
      <c r="ABH66" s="21"/>
      <c r="ABI66" s="21"/>
      <c r="ABJ66" s="21"/>
      <c r="ABK66" s="21"/>
      <c r="ABL66" s="21"/>
      <c r="ABM66" s="21"/>
      <c r="ABN66" s="21"/>
      <c r="ABO66" s="21"/>
      <c r="ABP66" s="21"/>
      <c r="ABQ66" s="21"/>
      <c r="ABR66" s="21"/>
      <c r="ABS66" s="21"/>
      <c r="ABT66" s="21"/>
      <c r="ABU66" s="21"/>
      <c r="ABV66" s="21"/>
      <c r="ABW66" s="21"/>
      <c r="ABX66" s="21"/>
      <c r="ABY66" s="21"/>
      <c r="ABZ66" s="21"/>
      <c r="ACA66" s="21"/>
      <c r="ACB66" s="21"/>
      <c r="ACC66" s="21"/>
      <c r="ACD66" s="21"/>
      <c r="ACE66" s="21"/>
      <c r="ACF66" s="21"/>
      <c r="ACG66" s="21"/>
      <c r="ACH66" s="21"/>
      <c r="ACI66" s="21"/>
      <c r="ACJ66" s="21"/>
      <c r="ACK66" s="21"/>
      <c r="ACL66" s="21"/>
      <c r="ACM66" s="21"/>
      <c r="ACN66" s="21"/>
      <c r="ACO66" s="21"/>
      <c r="ACP66" s="21"/>
      <c r="ACQ66" s="21"/>
      <c r="ACR66" s="21"/>
      <c r="ACS66" s="21"/>
      <c r="ACT66" s="21"/>
      <c r="ACU66" s="21"/>
      <c r="ACV66" s="21"/>
      <c r="ACW66" s="21"/>
      <c r="ACX66" s="21"/>
      <c r="ACY66" s="21"/>
      <c r="ACZ66" s="21"/>
      <c r="ADA66" s="21"/>
      <c r="ADB66" s="21"/>
      <c r="ADC66" s="21"/>
      <c r="ADD66" s="21"/>
      <c r="ADE66" s="21"/>
      <c r="ADF66" s="21"/>
      <c r="ADG66" s="21"/>
      <c r="ADH66" s="21"/>
      <c r="ADI66" s="21"/>
      <c r="ADJ66" s="21"/>
      <c r="ADK66" s="21"/>
      <c r="ADL66" s="21"/>
      <c r="ADM66" s="21"/>
      <c r="ADN66" s="21"/>
      <c r="ADO66" s="21"/>
      <c r="ADP66" s="21"/>
      <c r="ADQ66" s="21"/>
      <c r="ADR66" s="21"/>
      <c r="ADS66" s="21"/>
      <c r="ADT66" s="21"/>
      <c r="ADU66" s="21"/>
      <c r="ADV66" s="21"/>
      <c r="ADW66" s="21"/>
      <c r="ADX66" s="21"/>
      <c r="ADY66" s="21"/>
      <c r="ADZ66" s="21"/>
      <c r="AEA66" s="21"/>
      <c r="AEB66" s="21"/>
      <c r="AEC66" s="21"/>
      <c r="AED66" s="21"/>
      <c r="AEE66" s="21"/>
      <c r="AEF66" s="21"/>
      <c r="AEG66" s="21"/>
    </row>
    <row r="67" spans="1:813" s="93" customFormat="1" ht="75" x14ac:dyDescent="0.25">
      <c r="A67" s="92">
        <v>23</v>
      </c>
      <c r="B67" s="63" t="s">
        <v>375</v>
      </c>
      <c r="C67" s="80" t="s">
        <v>378</v>
      </c>
      <c r="D67" s="63" t="s">
        <v>377</v>
      </c>
      <c r="E67" s="36" t="s">
        <v>376</v>
      </c>
      <c r="F67" s="111">
        <v>198.875</v>
      </c>
      <c r="G67" s="32">
        <f>0</f>
        <v>0</v>
      </c>
      <c r="H67" s="33">
        <f t="shared" si="2"/>
        <v>0</v>
      </c>
      <c r="I67" s="32">
        <v>0</v>
      </c>
      <c r="J67" s="33">
        <f t="shared" si="15"/>
        <v>0</v>
      </c>
      <c r="K67" s="32">
        <f>1/2</f>
        <v>0.5</v>
      </c>
      <c r="L67" s="33">
        <f t="shared" si="16"/>
        <v>100</v>
      </c>
      <c r="M67" s="32">
        <f>0</f>
        <v>0</v>
      </c>
      <c r="N67" s="33">
        <f t="shared" si="17"/>
        <v>0</v>
      </c>
      <c r="O67" s="32">
        <v>0</v>
      </c>
      <c r="P67" s="33">
        <f t="shared" si="6"/>
        <v>0</v>
      </c>
      <c r="Q67" s="32">
        <f>3/2</f>
        <v>1.5</v>
      </c>
      <c r="R67" s="33">
        <f t="shared" si="7"/>
        <v>300</v>
      </c>
      <c r="S67" s="32">
        <f>2/2</f>
        <v>1</v>
      </c>
      <c r="T67" s="33">
        <f>ROUND($F67*S67,-1)</f>
        <v>200</v>
      </c>
      <c r="U67" s="32">
        <f>5/2</f>
        <v>2.5</v>
      </c>
      <c r="V67" s="33">
        <f t="shared" si="18"/>
        <v>500</v>
      </c>
      <c r="W67" s="32">
        <f>0</f>
        <v>0</v>
      </c>
      <c r="X67" s="33">
        <f t="shared" si="10"/>
        <v>0</v>
      </c>
      <c r="Y67" s="32">
        <f>14/2</f>
        <v>7</v>
      </c>
      <c r="Z67" s="33">
        <f t="shared" si="11"/>
        <v>1390</v>
      </c>
      <c r="AA67" s="32">
        <f>5/2</f>
        <v>2.5</v>
      </c>
      <c r="AB67" s="33">
        <f t="shared" si="19"/>
        <v>500</v>
      </c>
      <c r="AC67" s="32">
        <f>8/2</f>
        <v>4</v>
      </c>
      <c r="AD67" s="33">
        <f t="shared" si="20"/>
        <v>800</v>
      </c>
      <c r="AE67" s="32"/>
      <c r="AF67" s="33">
        <f t="shared" si="14"/>
        <v>3790</v>
      </c>
      <c r="AG67" s="33">
        <v>0</v>
      </c>
      <c r="AH67" s="33">
        <v>0</v>
      </c>
      <c r="AI67" s="32">
        <v>0</v>
      </c>
      <c r="AJ67" s="31">
        <v>195211.01492001626</v>
      </c>
      <c r="AK67" s="31">
        <v>15901.257764692682</v>
      </c>
      <c r="AL67" s="31">
        <v>211112.27268470894</v>
      </c>
      <c r="AM67" s="30" t="s">
        <v>18</v>
      </c>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c r="FL67" s="21"/>
      <c r="FM67" s="21"/>
      <c r="FN67" s="21"/>
      <c r="FO67" s="21"/>
      <c r="FP67" s="21"/>
      <c r="FQ67" s="21"/>
      <c r="FR67" s="21"/>
      <c r="FS67" s="21"/>
      <c r="FT67" s="21"/>
      <c r="FU67" s="21"/>
      <c r="FV67" s="21"/>
      <c r="FW67" s="21"/>
      <c r="FX67" s="21"/>
      <c r="FY67" s="21"/>
      <c r="FZ67" s="21"/>
      <c r="GA67" s="21"/>
      <c r="GB67" s="21"/>
      <c r="GC67" s="21"/>
      <c r="GD67" s="21"/>
      <c r="GE67" s="21"/>
      <c r="GF67" s="21"/>
      <c r="GG67" s="21"/>
      <c r="GH67" s="21"/>
      <c r="GI67" s="21"/>
      <c r="GJ67" s="21"/>
      <c r="GK67" s="21"/>
      <c r="GL67" s="21"/>
      <c r="GM67" s="21"/>
      <c r="GN67" s="21"/>
      <c r="GO67" s="21"/>
      <c r="GP67" s="21"/>
      <c r="GQ67" s="21"/>
      <c r="GR67" s="21"/>
      <c r="GS67" s="21"/>
      <c r="GT67" s="21"/>
      <c r="GU67" s="21"/>
      <c r="GV67" s="21"/>
      <c r="GW67" s="21"/>
      <c r="GX67" s="21"/>
      <c r="GY67" s="21"/>
      <c r="GZ67" s="21"/>
      <c r="HA67" s="21"/>
      <c r="HB67" s="21"/>
      <c r="HC67" s="21"/>
      <c r="HD67" s="21"/>
      <c r="HE67" s="21"/>
      <c r="HF67" s="21"/>
      <c r="HG67" s="21"/>
      <c r="HH67" s="21"/>
      <c r="HI67" s="21"/>
      <c r="HJ67" s="21"/>
      <c r="HK67" s="21"/>
      <c r="HL67" s="21"/>
      <c r="HM67" s="21"/>
      <c r="HN67" s="21"/>
      <c r="HO67" s="21"/>
      <c r="HP67" s="21"/>
      <c r="HQ67" s="21"/>
      <c r="HR67" s="21"/>
      <c r="HS67" s="21"/>
      <c r="HT67" s="21"/>
      <c r="HU67" s="21"/>
      <c r="HV67" s="21"/>
      <c r="HW67" s="21"/>
      <c r="HX67" s="21"/>
      <c r="HY67" s="21"/>
      <c r="HZ67" s="21"/>
      <c r="IA67" s="21"/>
      <c r="IB67" s="21"/>
      <c r="IC67" s="21"/>
      <c r="ID67" s="21"/>
      <c r="IE67" s="21"/>
      <c r="IF67" s="21"/>
      <c r="IG67" s="21"/>
      <c r="IH67" s="21"/>
      <c r="II67" s="21"/>
      <c r="IJ67" s="21"/>
      <c r="IK67" s="21"/>
      <c r="IL67" s="21"/>
      <c r="IM67" s="21"/>
      <c r="IN67" s="21"/>
      <c r="IO67" s="21"/>
      <c r="IP67" s="21"/>
      <c r="IQ67" s="21"/>
      <c r="IR67" s="21"/>
      <c r="IS67" s="21"/>
      <c r="IT67" s="21"/>
      <c r="IU67" s="21"/>
      <c r="IV67" s="21"/>
      <c r="IW67" s="21"/>
      <c r="IX67" s="21"/>
      <c r="IY67" s="21"/>
      <c r="IZ67" s="21"/>
      <c r="JA67" s="21"/>
      <c r="JB67" s="21"/>
      <c r="JC67" s="21"/>
      <c r="JD67" s="21"/>
      <c r="JE67" s="21"/>
      <c r="JF67" s="21"/>
      <c r="JG67" s="21"/>
      <c r="JH67" s="21"/>
      <c r="JI67" s="21"/>
      <c r="JJ67" s="21"/>
      <c r="JK67" s="21"/>
      <c r="JL67" s="21"/>
      <c r="JM67" s="21"/>
      <c r="JN67" s="21"/>
      <c r="JO67" s="21"/>
      <c r="JP67" s="21"/>
      <c r="JQ67" s="21"/>
      <c r="JR67" s="21"/>
      <c r="JS67" s="21"/>
      <c r="JT67" s="21"/>
      <c r="JU67" s="21"/>
      <c r="JV67" s="21"/>
      <c r="JW67" s="21"/>
      <c r="JX67" s="21"/>
      <c r="JY67" s="21"/>
      <c r="JZ67" s="21"/>
      <c r="KA67" s="21"/>
      <c r="KB67" s="21"/>
      <c r="KC67" s="21"/>
      <c r="KD67" s="21"/>
      <c r="KE67" s="21"/>
      <c r="KF67" s="21"/>
      <c r="KG67" s="21"/>
      <c r="KH67" s="21"/>
      <c r="KI67" s="21"/>
      <c r="KJ67" s="21"/>
      <c r="KK67" s="21"/>
      <c r="KL67" s="21"/>
      <c r="KM67" s="21"/>
      <c r="KN67" s="21"/>
      <c r="KO67" s="21"/>
      <c r="KP67" s="21"/>
      <c r="KQ67" s="21"/>
      <c r="KR67" s="21"/>
      <c r="KS67" s="21"/>
      <c r="KT67" s="21"/>
      <c r="KU67" s="21"/>
      <c r="KV67" s="21"/>
      <c r="KW67" s="21"/>
      <c r="KX67" s="21"/>
      <c r="KY67" s="21"/>
      <c r="KZ67" s="21"/>
      <c r="LA67" s="21"/>
      <c r="LB67" s="21"/>
      <c r="LC67" s="21"/>
      <c r="LD67" s="21"/>
      <c r="LE67" s="21"/>
      <c r="LF67" s="21"/>
      <c r="LG67" s="21"/>
      <c r="LH67" s="21"/>
      <c r="LI67" s="21"/>
      <c r="LJ67" s="21"/>
      <c r="LK67" s="21"/>
      <c r="LL67" s="21"/>
      <c r="LM67" s="21"/>
      <c r="LN67" s="21"/>
      <c r="LO67" s="21"/>
      <c r="LP67" s="21"/>
      <c r="LQ67" s="21"/>
      <c r="LR67" s="21"/>
      <c r="LS67" s="21"/>
      <c r="LT67" s="21"/>
      <c r="LU67" s="21"/>
      <c r="LV67" s="21"/>
      <c r="LW67" s="21"/>
      <c r="LX67" s="21"/>
      <c r="LY67" s="21"/>
      <c r="LZ67" s="21"/>
      <c r="MA67" s="21"/>
      <c r="MB67" s="21"/>
      <c r="MC67" s="21"/>
      <c r="MD67" s="21"/>
      <c r="ME67" s="21"/>
      <c r="MF67" s="21"/>
      <c r="MG67" s="21"/>
      <c r="MH67" s="21"/>
      <c r="MI67" s="21"/>
      <c r="MJ67" s="21"/>
      <c r="MK67" s="21"/>
      <c r="ML67" s="21"/>
      <c r="MM67" s="21"/>
      <c r="MN67" s="21"/>
      <c r="MO67" s="21"/>
      <c r="MP67" s="21"/>
      <c r="MQ67" s="21"/>
      <c r="MR67" s="21"/>
      <c r="MS67" s="21"/>
      <c r="MT67" s="21"/>
      <c r="MU67" s="21"/>
      <c r="MV67" s="21"/>
      <c r="MW67" s="21"/>
      <c r="MX67" s="21"/>
      <c r="MY67" s="21"/>
      <c r="MZ67" s="21"/>
      <c r="NA67" s="21"/>
      <c r="NB67" s="21"/>
      <c r="NC67" s="21"/>
      <c r="ND67" s="21"/>
      <c r="NE67" s="21"/>
      <c r="NF67" s="21"/>
      <c r="NG67" s="21"/>
      <c r="NH67" s="21"/>
      <c r="NI67" s="21"/>
      <c r="NJ67" s="21"/>
      <c r="NK67" s="21"/>
      <c r="NL67" s="21"/>
      <c r="NM67" s="21"/>
      <c r="NN67" s="21"/>
      <c r="NO67" s="21"/>
      <c r="NP67" s="21"/>
      <c r="NQ67" s="21"/>
      <c r="NR67" s="21"/>
      <c r="NS67" s="21"/>
      <c r="NT67" s="21"/>
      <c r="NU67" s="21"/>
      <c r="NV67" s="21"/>
      <c r="NW67" s="21"/>
      <c r="NX67" s="21"/>
      <c r="NY67" s="21"/>
      <c r="NZ67" s="21"/>
      <c r="OA67" s="21"/>
      <c r="OB67" s="21"/>
      <c r="OC67" s="21"/>
      <c r="OD67" s="21"/>
      <c r="OE67" s="21"/>
      <c r="OF67" s="21"/>
      <c r="OG67" s="21"/>
      <c r="OH67" s="21"/>
      <c r="OI67" s="21"/>
      <c r="OJ67" s="21"/>
      <c r="OK67" s="21"/>
      <c r="OL67" s="21"/>
      <c r="OM67" s="21"/>
      <c r="ON67" s="21"/>
      <c r="OO67" s="21"/>
      <c r="OP67" s="21"/>
      <c r="OQ67" s="21"/>
      <c r="OR67" s="21"/>
      <c r="OS67" s="21"/>
      <c r="OT67" s="21"/>
      <c r="OU67" s="21"/>
      <c r="OV67" s="21"/>
      <c r="OW67" s="21"/>
      <c r="OX67" s="21"/>
      <c r="OY67" s="21"/>
      <c r="OZ67" s="21"/>
      <c r="PA67" s="21"/>
      <c r="PB67" s="21"/>
      <c r="PC67" s="21"/>
      <c r="PD67" s="21"/>
      <c r="PE67" s="21"/>
      <c r="PF67" s="21"/>
      <c r="PG67" s="21"/>
      <c r="PH67" s="21"/>
      <c r="PI67" s="21"/>
      <c r="PJ67" s="21"/>
      <c r="PK67" s="21"/>
      <c r="PL67" s="21"/>
      <c r="PM67" s="21"/>
      <c r="PN67" s="21"/>
      <c r="PO67" s="21"/>
      <c r="PP67" s="21"/>
      <c r="PQ67" s="21"/>
      <c r="PR67" s="21"/>
      <c r="PS67" s="21"/>
      <c r="PT67" s="21"/>
      <c r="PU67" s="21"/>
      <c r="PV67" s="21"/>
      <c r="PW67" s="21"/>
      <c r="PX67" s="21"/>
      <c r="PY67" s="21"/>
      <c r="PZ67" s="21"/>
      <c r="QA67" s="21"/>
      <c r="QB67" s="21"/>
      <c r="QC67" s="21"/>
      <c r="QD67" s="21"/>
      <c r="QE67" s="21"/>
      <c r="QF67" s="21"/>
      <c r="QG67" s="21"/>
      <c r="QH67" s="21"/>
      <c r="QI67" s="21"/>
      <c r="QJ67" s="21"/>
      <c r="QK67" s="21"/>
      <c r="QL67" s="21"/>
      <c r="QM67" s="21"/>
      <c r="QN67" s="21"/>
      <c r="QO67" s="21"/>
      <c r="QP67" s="21"/>
      <c r="QQ67" s="21"/>
      <c r="QR67" s="21"/>
      <c r="QS67" s="21"/>
      <c r="QT67" s="21"/>
      <c r="QU67" s="21"/>
      <c r="QV67" s="21"/>
      <c r="QW67" s="21"/>
      <c r="QX67" s="21"/>
      <c r="QY67" s="21"/>
      <c r="QZ67" s="21"/>
      <c r="RA67" s="21"/>
      <c r="RB67" s="21"/>
      <c r="RC67" s="21"/>
      <c r="RD67" s="21"/>
      <c r="RE67" s="21"/>
      <c r="RF67" s="21"/>
      <c r="RG67" s="21"/>
      <c r="RH67" s="21"/>
      <c r="RI67" s="21"/>
      <c r="RJ67" s="21"/>
      <c r="RK67" s="21"/>
      <c r="RL67" s="21"/>
      <c r="RM67" s="21"/>
      <c r="RN67" s="21"/>
      <c r="RO67" s="21"/>
      <c r="RP67" s="21"/>
      <c r="RQ67" s="21"/>
      <c r="RR67" s="21"/>
      <c r="RS67" s="21"/>
      <c r="RT67" s="21"/>
      <c r="RU67" s="21"/>
      <c r="RV67" s="21"/>
      <c r="RW67" s="21"/>
      <c r="RX67" s="21"/>
      <c r="RY67" s="21"/>
      <c r="RZ67" s="21"/>
      <c r="SA67" s="21"/>
      <c r="SB67" s="21"/>
      <c r="SC67" s="21"/>
      <c r="SD67" s="21"/>
      <c r="SE67" s="21"/>
      <c r="SF67" s="21"/>
      <c r="SG67" s="21"/>
      <c r="SH67" s="21"/>
      <c r="SI67" s="21"/>
      <c r="SJ67" s="21"/>
      <c r="SK67" s="21"/>
      <c r="SL67" s="21"/>
      <c r="SM67" s="21"/>
      <c r="SN67" s="21"/>
      <c r="SO67" s="21"/>
      <c r="SP67" s="21"/>
      <c r="SQ67" s="21"/>
      <c r="SR67" s="21"/>
      <c r="SS67" s="21"/>
      <c r="ST67" s="21"/>
      <c r="SU67" s="21"/>
      <c r="SV67" s="21"/>
      <c r="SW67" s="21"/>
      <c r="SX67" s="21"/>
      <c r="SY67" s="21"/>
      <c r="SZ67" s="21"/>
      <c r="TA67" s="21"/>
      <c r="TB67" s="21"/>
      <c r="TC67" s="21"/>
      <c r="TD67" s="21"/>
      <c r="TE67" s="21"/>
      <c r="TF67" s="21"/>
      <c r="TG67" s="21"/>
      <c r="TH67" s="21"/>
      <c r="TI67" s="21"/>
      <c r="TJ67" s="21"/>
      <c r="TK67" s="21"/>
      <c r="TL67" s="21"/>
      <c r="TM67" s="21"/>
      <c r="TN67" s="21"/>
      <c r="TO67" s="21"/>
      <c r="TP67" s="21"/>
      <c r="TQ67" s="21"/>
      <c r="TR67" s="21"/>
      <c r="TS67" s="21"/>
      <c r="TT67" s="21"/>
      <c r="TU67" s="21"/>
      <c r="TV67" s="21"/>
      <c r="TW67" s="21"/>
      <c r="TX67" s="21"/>
      <c r="TY67" s="21"/>
      <c r="TZ67" s="21"/>
      <c r="UA67" s="21"/>
      <c r="UB67" s="21"/>
      <c r="UC67" s="21"/>
      <c r="UD67" s="21"/>
      <c r="UE67" s="21"/>
      <c r="UF67" s="21"/>
      <c r="UG67" s="21"/>
      <c r="UH67" s="21"/>
      <c r="UI67" s="21"/>
      <c r="UJ67" s="21"/>
      <c r="UK67" s="21"/>
      <c r="UL67" s="21"/>
      <c r="UM67" s="21"/>
      <c r="UN67" s="21"/>
      <c r="UO67" s="21"/>
      <c r="UP67" s="21"/>
      <c r="UQ67" s="21"/>
      <c r="UR67" s="21"/>
      <c r="US67" s="21"/>
      <c r="UT67" s="21"/>
      <c r="UU67" s="21"/>
      <c r="UV67" s="21"/>
      <c r="UW67" s="21"/>
      <c r="UX67" s="21"/>
      <c r="UY67" s="21"/>
      <c r="UZ67" s="21"/>
      <c r="VA67" s="21"/>
      <c r="VB67" s="21"/>
      <c r="VC67" s="21"/>
      <c r="VD67" s="21"/>
      <c r="VE67" s="21"/>
      <c r="VF67" s="21"/>
      <c r="VG67" s="21"/>
      <c r="VH67" s="21"/>
      <c r="VI67" s="21"/>
      <c r="VJ67" s="21"/>
      <c r="VK67" s="21"/>
      <c r="VL67" s="21"/>
      <c r="VM67" s="21"/>
      <c r="VN67" s="21"/>
      <c r="VO67" s="21"/>
      <c r="VP67" s="21"/>
      <c r="VQ67" s="21"/>
      <c r="VR67" s="21"/>
      <c r="VS67" s="21"/>
      <c r="VT67" s="21"/>
      <c r="VU67" s="21"/>
      <c r="VV67" s="21"/>
      <c r="VW67" s="21"/>
      <c r="VX67" s="21"/>
      <c r="VY67" s="21"/>
      <c r="VZ67" s="21"/>
      <c r="WA67" s="21"/>
      <c r="WB67" s="21"/>
      <c r="WC67" s="21"/>
      <c r="WD67" s="21"/>
      <c r="WE67" s="21"/>
      <c r="WF67" s="21"/>
      <c r="WG67" s="21"/>
      <c r="WH67" s="21"/>
      <c r="WI67" s="21"/>
      <c r="WJ67" s="21"/>
      <c r="WK67" s="21"/>
      <c r="WL67" s="21"/>
      <c r="WM67" s="21"/>
      <c r="WN67" s="21"/>
      <c r="WO67" s="21"/>
      <c r="WP67" s="21"/>
      <c r="WQ67" s="21"/>
      <c r="WR67" s="21"/>
      <c r="WS67" s="21"/>
      <c r="WT67" s="21"/>
      <c r="WU67" s="21"/>
      <c r="WV67" s="21"/>
      <c r="WW67" s="21"/>
      <c r="WX67" s="21"/>
      <c r="WY67" s="21"/>
      <c r="WZ67" s="21"/>
      <c r="XA67" s="21"/>
      <c r="XB67" s="21"/>
      <c r="XC67" s="21"/>
      <c r="XD67" s="21"/>
      <c r="XE67" s="21"/>
      <c r="XF67" s="21"/>
      <c r="XG67" s="21"/>
      <c r="XH67" s="21"/>
      <c r="XI67" s="21"/>
      <c r="XJ67" s="21"/>
      <c r="XK67" s="21"/>
      <c r="XL67" s="21"/>
      <c r="XM67" s="21"/>
      <c r="XN67" s="21"/>
      <c r="XO67" s="21"/>
      <c r="XP67" s="21"/>
      <c r="XQ67" s="21"/>
      <c r="XR67" s="21"/>
      <c r="XS67" s="21"/>
      <c r="XT67" s="21"/>
      <c r="XU67" s="21"/>
      <c r="XV67" s="21"/>
      <c r="XW67" s="21"/>
      <c r="XX67" s="21"/>
      <c r="XY67" s="21"/>
      <c r="XZ67" s="21"/>
      <c r="YA67" s="21"/>
      <c r="YB67" s="21"/>
      <c r="YC67" s="21"/>
      <c r="YD67" s="21"/>
      <c r="YE67" s="21"/>
      <c r="YF67" s="21"/>
      <c r="YG67" s="21"/>
      <c r="YH67" s="21"/>
      <c r="YI67" s="21"/>
      <c r="YJ67" s="21"/>
      <c r="YK67" s="21"/>
      <c r="YL67" s="21"/>
      <c r="YM67" s="21"/>
      <c r="YN67" s="21"/>
      <c r="YO67" s="21"/>
      <c r="YP67" s="21"/>
      <c r="YQ67" s="21"/>
      <c r="YR67" s="21"/>
      <c r="YS67" s="21"/>
      <c r="YT67" s="21"/>
      <c r="YU67" s="21"/>
      <c r="YV67" s="21"/>
      <c r="YW67" s="21"/>
      <c r="YX67" s="21"/>
      <c r="YY67" s="21"/>
      <c r="YZ67" s="21"/>
      <c r="ZA67" s="21"/>
      <c r="ZB67" s="21"/>
      <c r="ZC67" s="21"/>
      <c r="ZD67" s="21"/>
      <c r="ZE67" s="21"/>
      <c r="ZF67" s="21"/>
      <c r="ZG67" s="21"/>
      <c r="ZH67" s="21"/>
      <c r="ZI67" s="21"/>
      <c r="ZJ67" s="21"/>
      <c r="ZK67" s="21"/>
      <c r="ZL67" s="21"/>
      <c r="ZM67" s="21"/>
      <c r="ZN67" s="21"/>
      <c r="ZO67" s="21"/>
      <c r="ZP67" s="21"/>
      <c r="ZQ67" s="21"/>
      <c r="ZR67" s="21"/>
      <c r="ZS67" s="21"/>
      <c r="ZT67" s="21"/>
      <c r="ZU67" s="21"/>
      <c r="ZV67" s="21"/>
      <c r="ZW67" s="21"/>
      <c r="ZX67" s="21"/>
      <c r="ZY67" s="21"/>
      <c r="ZZ67" s="21"/>
      <c r="AAA67" s="21"/>
      <c r="AAB67" s="21"/>
      <c r="AAC67" s="21"/>
      <c r="AAD67" s="21"/>
      <c r="AAE67" s="21"/>
      <c r="AAF67" s="21"/>
      <c r="AAG67" s="21"/>
      <c r="AAH67" s="21"/>
      <c r="AAI67" s="21"/>
      <c r="AAJ67" s="21"/>
      <c r="AAK67" s="21"/>
      <c r="AAL67" s="21"/>
      <c r="AAM67" s="21"/>
      <c r="AAN67" s="21"/>
      <c r="AAO67" s="21"/>
      <c r="AAP67" s="21"/>
      <c r="AAQ67" s="21"/>
      <c r="AAR67" s="21"/>
      <c r="AAS67" s="21"/>
      <c r="AAT67" s="21"/>
      <c r="AAU67" s="21"/>
      <c r="AAV67" s="21"/>
      <c r="AAW67" s="21"/>
      <c r="AAX67" s="21"/>
      <c r="AAY67" s="21"/>
      <c r="AAZ67" s="21"/>
      <c r="ABA67" s="21"/>
      <c r="ABB67" s="21"/>
      <c r="ABC67" s="21"/>
      <c r="ABD67" s="21"/>
      <c r="ABE67" s="21"/>
      <c r="ABF67" s="21"/>
      <c r="ABG67" s="21"/>
      <c r="ABH67" s="21"/>
      <c r="ABI67" s="21"/>
      <c r="ABJ67" s="21"/>
      <c r="ABK67" s="21"/>
      <c r="ABL67" s="21"/>
      <c r="ABM67" s="21"/>
      <c r="ABN67" s="21"/>
      <c r="ABO67" s="21"/>
      <c r="ABP67" s="21"/>
      <c r="ABQ67" s="21"/>
      <c r="ABR67" s="21"/>
      <c r="ABS67" s="21"/>
      <c r="ABT67" s="21"/>
      <c r="ABU67" s="21"/>
      <c r="ABV67" s="21"/>
      <c r="ABW67" s="21"/>
      <c r="ABX67" s="21"/>
      <c r="ABY67" s="21"/>
      <c r="ABZ67" s="21"/>
      <c r="ACA67" s="21"/>
      <c r="ACB67" s="21"/>
      <c r="ACC67" s="21"/>
      <c r="ACD67" s="21"/>
      <c r="ACE67" s="21"/>
      <c r="ACF67" s="21"/>
      <c r="ACG67" s="21"/>
      <c r="ACH67" s="21"/>
      <c r="ACI67" s="21"/>
      <c r="ACJ67" s="21"/>
      <c r="ACK67" s="21"/>
      <c r="ACL67" s="21"/>
      <c r="ACM67" s="21"/>
      <c r="ACN67" s="21"/>
      <c r="ACO67" s="21"/>
      <c r="ACP67" s="21"/>
      <c r="ACQ67" s="21"/>
      <c r="ACR67" s="21"/>
      <c r="ACS67" s="21"/>
      <c r="ACT67" s="21"/>
      <c r="ACU67" s="21"/>
      <c r="ACV67" s="21"/>
      <c r="ACW67" s="21"/>
      <c r="ACX67" s="21"/>
      <c r="ACY67" s="21"/>
      <c r="ACZ67" s="21"/>
      <c r="ADA67" s="21"/>
      <c r="ADB67" s="21"/>
      <c r="ADC67" s="21"/>
      <c r="ADD67" s="21"/>
      <c r="ADE67" s="21"/>
      <c r="ADF67" s="21"/>
      <c r="ADG67" s="21"/>
      <c r="ADH67" s="21"/>
      <c r="ADI67" s="21"/>
      <c r="ADJ67" s="21"/>
      <c r="ADK67" s="21"/>
      <c r="ADL67" s="21"/>
      <c r="ADM67" s="21"/>
      <c r="ADN67" s="21"/>
      <c r="ADO67" s="21"/>
      <c r="ADP67" s="21"/>
      <c r="ADQ67" s="21"/>
      <c r="ADR67" s="21"/>
      <c r="ADS67" s="21"/>
      <c r="ADT67" s="21"/>
      <c r="ADU67" s="21"/>
      <c r="ADV67" s="21"/>
      <c r="ADW67" s="21"/>
      <c r="ADX67" s="21"/>
      <c r="ADY67" s="21"/>
      <c r="ADZ67" s="21"/>
      <c r="AEA67" s="21"/>
      <c r="AEB67" s="21"/>
      <c r="AEC67" s="21"/>
      <c r="AED67" s="21"/>
      <c r="AEE67" s="21"/>
      <c r="AEF67" s="21"/>
      <c r="AEG67" s="21"/>
    </row>
    <row r="68" spans="1:813" s="93" customFormat="1" ht="75" x14ac:dyDescent="0.25">
      <c r="A68" s="92">
        <v>24</v>
      </c>
      <c r="B68" s="63" t="s">
        <v>375</v>
      </c>
      <c r="C68" s="80" t="s">
        <v>374</v>
      </c>
      <c r="D68" s="63" t="s">
        <v>373</v>
      </c>
      <c r="E68" s="40" t="s">
        <v>372</v>
      </c>
      <c r="F68" s="125">
        <v>13.854166666666668</v>
      </c>
      <c r="G68" s="32">
        <f>0</f>
        <v>0</v>
      </c>
      <c r="H68" s="33">
        <f t="shared" si="2"/>
        <v>0</v>
      </c>
      <c r="I68" s="32">
        <f>1/2</f>
        <v>0.5</v>
      </c>
      <c r="J68" s="33">
        <f t="shared" si="15"/>
        <v>10</v>
      </c>
      <c r="K68" s="32">
        <v>0</v>
      </c>
      <c r="L68" s="33">
        <f t="shared" si="16"/>
        <v>0</v>
      </c>
      <c r="M68" s="32">
        <f>4/2</f>
        <v>2</v>
      </c>
      <c r="N68" s="33">
        <f t="shared" si="17"/>
        <v>30</v>
      </c>
      <c r="O68" s="32">
        <f>5/2</f>
        <v>2.5</v>
      </c>
      <c r="P68" s="33">
        <f t="shared" si="6"/>
        <v>30</v>
      </c>
      <c r="Q68" s="32">
        <v>0</v>
      </c>
      <c r="R68" s="33">
        <f t="shared" si="7"/>
        <v>0</v>
      </c>
      <c r="S68" s="32">
        <f>2/2</f>
        <v>1</v>
      </c>
      <c r="T68" s="33">
        <v>20</v>
      </c>
      <c r="U68" s="32">
        <f>6/2</f>
        <v>3</v>
      </c>
      <c r="V68" s="33">
        <f t="shared" si="18"/>
        <v>40</v>
      </c>
      <c r="W68" s="32">
        <f>0</f>
        <v>0</v>
      </c>
      <c r="X68" s="33">
        <f t="shared" si="10"/>
        <v>0</v>
      </c>
      <c r="Y68" s="32">
        <f>24/2</f>
        <v>12</v>
      </c>
      <c r="Z68" s="33">
        <f t="shared" si="11"/>
        <v>170</v>
      </c>
      <c r="AA68" s="32">
        <f>8/2</f>
        <v>4</v>
      </c>
      <c r="AB68" s="33">
        <f t="shared" si="19"/>
        <v>60</v>
      </c>
      <c r="AC68" s="32">
        <f>3/2</f>
        <v>1.5</v>
      </c>
      <c r="AD68" s="33">
        <f t="shared" si="20"/>
        <v>20</v>
      </c>
      <c r="AE68" s="32"/>
      <c r="AF68" s="33">
        <f t="shared" si="14"/>
        <v>380</v>
      </c>
      <c r="AG68" s="33">
        <v>0</v>
      </c>
      <c r="AH68" s="33">
        <v>0</v>
      </c>
      <c r="AI68" s="32">
        <v>0</v>
      </c>
      <c r="AJ68" s="31">
        <v>19723.031581267616</v>
      </c>
      <c r="AK68" s="31">
        <v>1606.5743482938733</v>
      </c>
      <c r="AL68" s="31">
        <v>21329.60592956149</v>
      </c>
      <c r="AM68" s="30" t="s">
        <v>18</v>
      </c>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c r="HH68" s="21"/>
      <c r="HI68" s="21"/>
      <c r="HJ68" s="21"/>
      <c r="HK68" s="21"/>
      <c r="HL68" s="21"/>
      <c r="HM68" s="21"/>
      <c r="HN68" s="21"/>
      <c r="HO68" s="21"/>
      <c r="HP68" s="21"/>
      <c r="HQ68" s="21"/>
      <c r="HR68" s="21"/>
      <c r="HS68" s="21"/>
      <c r="HT68" s="21"/>
      <c r="HU68" s="21"/>
      <c r="HV68" s="21"/>
      <c r="HW68" s="21"/>
      <c r="HX68" s="21"/>
      <c r="HY68" s="21"/>
      <c r="HZ68" s="21"/>
      <c r="IA68" s="21"/>
      <c r="IB68" s="21"/>
      <c r="IC68" s="21"/>
      <c r="ID68" s="21"/>
      <c r="IE68" s="21"/>
      <c r="IF68" s="21"/>
      <c r="IG68" s="21"/>
      <c r="IH68" s="21"/>
      <c r="II68" s="21"/>
      <c r="IJ68" s="21"/>
      <c r="IK68" s="21"/>
      <c r="IL68" s="21"/>
      <c r="IM68" s="21"/>
      <c r="IN68" s="21"/>
      <c r="IO68" s="21"/>
      <c r="IP68" s="21"/>
      <c r="IQ68" s="21"/>
      <c r="IR68" s="21"/>
      <c r="IS68" s="21"/>
      <c r="IT68" s="21"/>
      <c r="IU68" s="21"/>
      <c r="IV68" s="21"/>
      <c r="IW68" s="21"/>
      <c r="IX68" s="21"/>
      <c r="IY68" s="21"/>
      <c r="IZ68" s="21"/>
      <c r="JA68" s="21"/>
      <c r="JB68" s="21"/>
      <c r="JC68" s="21"/>
      <c r="JD68" s="21"/>
      <c r="JE68" s="21"/>
      <c r="JF68" s="21"/>
      <c r="JG68" s="21"/>
      <c r="JH68" s="21"/>
      <c r="JI68" s="21"/>
      <c r="JJ68" s="21"/>
      <c r="JK68" s="21"/>
      <c r="JL68" s="21"/>
      <c r="JM68" s="21"/>
      <c r="JN68" s="21"/>
      <c r="JO68" s="21"/>
      <c r="JP68" s="21"/>
      <c r="JQ68" s="21"/>
      <c r="JR68" s="21"/>
      <c r="JS68" s="21"/>
      <c r="JT68" s="21"/>
      <c r="JU68" s="21"/>
      <c r="JV68" s="21"/>
      <c r="JW68" s="21"/>
      <c r="JX68" s="21"/>
      <c r="JY68" s="21"/>
      <c r="JZ68" s="21"/>
      <c r="KA68" s="21"/>
      <c r="KB68" s="21"/>
      <c r="KC68" s="21"/>
      <c r="KD68" s="21"/>
      <c r="KE68" s="21"/>
      <c r="KF68" s="21"/>
      <c r="KG68" s="21"/>
      <c r="KH68" s="21"/>
      <c r="KI68" s="21"/>
      <c r="KJ68" s="21"/>
      <c r="KK68" s="21"/>
      <c r="KL68" s="21"/>
      <c r="KM68" s="21"/>
      <c r="KN68" s="21"/>
      <c r="KO68" s="21"/>
      <c r="KP68" s="21"/>
      <c r="KQ68" s="21"/>
      <c r="KR68" s="21"/>
      <c r="KS68" s="21"/>
      <c r="KT68" s="21"/>
      <c r="KU68" s="21"/>
      <c r="KV68" s="21"/>
      <c r="KW68" s="21"/>
      <c r="KX68" s="21"/>
      <c r="KY68" s="21"/>
      <c r="KZ68" s="21"/>
      <c r="LA68" s="21"/>
      <c r="LB68" s="21"/>
      <c r="LC68" s="21"/>
      <c r="LD68" s="21"/>
      <c r="LE68" s="21"/>
      <c r="LF68" s="21"/>
      <c r="LG68" s="21"/>
      <c r="LH68" s="21"/>
      <c r="LI68" s="21"/>
      <c r="LJ68" s="21"/>
      <c r="LK68" s="21"/>
      <c r="LL68" s="21"/>
      <c r="LM68" s="21"/>
      <c r="LN68" s="21"/>
      <c r="LO68" s="21"/>
      <c r="LP68" s="21"/>
      <c r="LQ68" s="21"/>
      <c r="LR68" s="21"/>
      <c r="LS68" s="21"/>
      <c r="LT68" s="21"/>
      <c r="LU68" s="21"/>
      <c r="LV68" s="21"/>
      <c r="LW68" s="21"/>
      <c r="LX68" s="21"/>
      <c r="LY68" s="21"/>
      <c r="LZ68" s="21"/>
      <c r="MA68" s="21"/>
      <c r="MB68" s="21"/>
      <c r="MC68" s="21"/>
      <c r="MD68" s="21"/>
      <c r="ME68" s="21"/>
      <c r="MF68" s="21"/>
      <c r="MG68" s="21"/>
      <c r="MH68" s="21"/>
      <c r="MI68" s="21"/>
      <c r="MJ68" s="21"/>
      <c r="MK68" s="21"/>
      <c r="ML68" s="21"/>
      <c r="MM68" s="21"/>
      <c r="MN68" s="21"/>
      <c r="MO68" s="21"/>
      <c r="MP68" s="21"/>
      <c r="MQ68" s="21"/>
      <c r="MR68" s="21"/>
      <c r="MS68" s="21"/>
      <c r="MT68" s="21"/>
      <c r="MU68" s="21"/>
      <c r="MV68" s="21"/>
      <c r="MW68" s="21"/>
      <c r="MX68" s="21"/>
      <c r="MY68" s="21"/>
      <c r="MZ68" s="21"/>
      <c r="NA68" s="21"/>
      <c r="NB68" s="21"/>
      <c r="NC68" s="21"/>
      <c r="ND68" s="21"/>
      <c r="NE68" s="21"/>
      <c r="NF68" s="21"/>
      <c r="NG68" s="21"/>
      <c r="NH68" s="21"/>
      <c r="NI68" s="21"/>
      <c r="NJ68" s="21"/>
      <c r="NK68" s="21"/>
      <c r="NL68" s="21"/>
      <c r="NM68" s="21"/>
      <c r="NN68" s="21"/>
      <c r="NO68" s="21"/>
      <c r="NP68" s="21"/>
      <c r="NQ68" s="21"/>
      <c r="NR68" s="21"/>
      <c r="NS68" s="21"/>
      <c r="NT68" s="21"/>
      <c r="NU68" s="21"/>
      <c r="NV68" s="21"/>
      <c r="NW68" s="21"/>
      <c r="NX68" s="21"/>
      <c r="NY68" s="21"/>
      <c r="NZ68" s="21"/>
      <c r="OA68" s="21"/>
      <c r="OB68" s="21"/>
      <c r="OC68" s="21"/>
      <c r="OD68" s="21"/>
      <c r="OE68" s="21"/>
      <c r="OF68" s="21"/>
      <c r="OG68" s="21"/>
      <c r="OH68" s="21"/>
      <c r="OI68" s="21"/>
      <c r="OJ68" s="21"/>
      <c r="OK68" s="21"/>
      <c r="OL68" s="21"/>
      <c r="OM68" s="21"/>
      <c r="ON68" s="21"/>
      <c r="OO68" s="21"/>
      <c r="OP68" s="21"/>
      <c r="OQ68" s="21"/>
      <c r="OR68" s="21"/>
      <c r="OS68" s="21"/>
      <c r="OT68" s="21"/>
      <c r="OU68" s="21"/>
      <c r="OV68" s="21"/>
      <c r="OW68" s="21"/>
      <c r="OX68" s="21"/>
      <c r="OY68" s="21"/>
      <c r="OZ68" s="21"/>
      <c r="PA68" s="21"/>
      <c r="PB68" s="21"/>
      <c r="PC68" s="21"/>
      <c r="PD68" s="21"/>
      <c r="PE68" s="21"/>
      <c r="PF68" s="21"/>
      <c r="PG68" s="21"/>
      <c r="PH68" s="21"/>
      <c r="PI68" s="21"/>
      <c r="PJ68" s="21"/>
      <c r="PK68" s="21"/>
      <c r="PL68" s="21"/>
      <c r="PM68" s="21"/>
      <c r="PN68" s="21"/>
      <c r="PO68" s="21"/>
      <c r="PP68" s="21"/>
      <c r="PQ68" s="21"/>
      <c r="PR68" s="21"/>
      <c r="PS68" s="21"/>
      <c r="PT68" s="21"/>
      <c r="PU68" s="21"/>
      <c r="PV68" s="21"/>
      <c r="PW68" s="21"/>
      <c r="PX68" s="21"/>
      <c r="PY68" s="21"/>
      <c r="PZ68" s="21"/>
      <c r="QA68" s="21"/>
      <c r="QB68" s="21"/>
      <c r="QC68" s="21"/>
      <c r="QD68" s="21"/>
      <c r="QE68" s="21"/>
      <c r="QF68" s="21"/>
      <c r="QG68" s="21"/>
      <c r="QH68" s="21"/>
      <c r="QI68" s="21"/>
      <c r="QJ68" s="21"/>
      <c r="QK68" s="21"/>
      <c r="QL68" s="21"/>
      <c r="QM68" s="21"/>
      <c r="QN68" s="21"/>
      <c r="QO68" s="21"/>
      <c r="QP68" s="21"/>
      <c r="QQ68" s="21"/>
      <c r="QR68" s="21"/>
      <c r="QS68" s="21"/>
      <c r="QT68" s="21"/>
      <c r="QU68" s="21"/>
      <c r="QV68" s="21"/>
      <c r="QW68" s="21"/>
      <c r="QX68" s="21"/>
      <c r="QY68" s="21"/>
      <c r="QZ68" s="21"/>
      <c r="RA68" s="21"/>
      <c r="RB68" s="21"/>
      <c r="RC68" s="21"/>
      <c r="RD68" s="21"/>
      <c r="RE68" s="21"/>
      <c r="RF68" s="21"/>
      <c r="RG68" s="21"/>
      <c r="RH68" s="21"/>
      <c r="RI68" s="21"/>
      <c r="RJ68" s="21"/>
      <c r="RK68" s="21"/>
      <c r="RL68" s="21"/>
      <c r="RM68" s="21"/>
      <c r="RN68" s="21"/>
      <c r="RO68" s="21"/>
      <c r="RP68" s="21"/>
      <c r="RQ68" s="21"/>
      <c r="RR68" s="21"/>
      <c r="RS68" s="21"/>
      <c r="RT68" s="21"/>
      <c r="RU68" s="21"/>
      <c r="RV68" s="21"/>
      <c r="RW68" s="21"/>
      <c r="RX68" s="21"/>
      <c r="RY68" s="21"/>
      <c r="RZ68" s="21"/>
      <c r="SA68" s="21"/>
      <c r="SB68" s="21"/>
      <c r="SC68" s="21"/>
      <c r="SD68" s="21"/>
      <c r="SE68" s="21"/>
      <c r="SF68" s="21"/>
      <c r="SG68" s="21"/>
      <c r="SH68" s="21"/>
      <c r="SI68" s="21"/>
      <c r="SJ68" s="21"/>
      <c r="SK68" s="21"/>
      <c r="SL68" s="21"/>
      <c r="SM68" s="21"/>
      <c r="SN68" s="21"/>
      <c r="SO68" s="21"/>
      <c r="SP68" s="21"/>
      <c r="SQ68" s="21"/>
      <c r="SR68" s="21"/>
      <c r="SS68" s="21"/>
      <c r="ST68" s="21"/>
      <c r="SU68" s="21"/>
      <c r="SV68" s="21"/>
      <c r="SW68" s="21"/>
      <c r="SX68" s="21"/>
      <c r="SY68" s="21"/>
      <c r="SZ68" s="21"/>
      <c r="TA68" s="21"/>
      <c r="TB68" s="21"/>
      <c r="TC68" s="21"/>
      <c r="TD68" s="21"/>
      <c r="TE68" s="21"/>
      <c r="TF68" s="21"/>
      <c r="TG68" s="21"/>
      <c r="TH68" s="21"/>
      <c r="TI68" s="21"/>
      <c r="TJ68" s="21"/>
      <c r="TK68" s="21"/>
      <c r="TL68" s="21"/>
      <c r="TM68" s="21"/>
      <c r="TN68" s="21"/>
      <c r="TO68" s="21"/>
      <c r="TP68" s="21"/>
      <c r="TQ68" s="21"/>
      <c r="TR68" s="21"/>
      <c r="TS68" s="21"/>
      <c r="TT68" s="21"/>
      <c r="TU68" s="21"/>
      <c r="TV68" s="21"/>
      <c r="TW68" s="21"/>
      <c r="TX68" s="21"/>
      <c r="TY68" s="21"/>
      <c r="TZ68" s="21"/>
      <c r="UA68" s="21"/>
      <c r="UB68" s="21"/>
      <c r="UC68" s="21"/>
      <c r="UD68" s="21"/>
      <c r="UE68" s="21"/>
      <c r="UF68" s="21"/>
      <c r="UG68" s="21"/>
      <c r="UH68" s="21"/>
      <c r="UI68" s="21"/>
      <c r="UJ68" s="21"/>
      <c r="UK68" s="21"/>
      <c r="UL68" s="21"/>
      <c r="UM68" s="21"/>
      <c r="UN68" s="21"/>
      <c r="UO68" s="21"/>
      <c r="UP68" s="21"/>
      <c r="UQ68" s="21"/>
      <c r="UR68" s="21"/>
      <c r="US68" s="21"/>
      <c r="UT68" s="21"/>
      <c r="UU68" s="21"/>
      <c r="UV68" s="21"/>
      <c r="UW68" s="21"/>
      <c r="UX68" s="21"/>
      <c r="UY68" s="21"/>
      <c r="UZ68" s="21"/>
      <c r="VA68" s="21"/>
      <c r="VB68" s="21"/>
      <c r="VC68" s="21"/>
      <c r="VD68" s="21"/>
      <c r="VE68" s="21"/>
      <c r="VF68" s="21"/>
      <c r="VG68" s="21"/>
      <c r="VH68" s="21"/>
      <c r="VI68" s="21"/>
      <c r="VJ68" s="21"/>
      <c r="VK68" s="21"/>
      <c r="VL68" s="21"/>
      <c r="VM68" s="21"/>
      <c r="VN68" s="21"/>
      <c r="VO68" s="21"/>
      <c r="VP68" s="21"/>
      <c r="VQ68" s="21"/>
      <c r="VR68" s="21"/>
      <c r="VS68" s="21"/>
      <c r="VT68" s="21"/>
      <c r="VU68" s="21"/>
      <c r="VV68" s="21"/>
      <c r="VW68" s="21"/>
      <c r="VX68" s="21"/>
      <c r="VY68" s="21"/>
      <c r="VZ68" s="21"/>
      <c r="WA68" s="21"/>
      <c r="WB68" s="21"/>
      <c r="WC68" s="21"/>
      <c r="WD68" s="21"/>
      <c r="WE68" s="21"/>
      <c r="WF68" s="21"/>
      <c r="WG68" s="21"/>
      <c r="WH68" s="21"/>
      <c r="WI68" s="21"/>
      <c r="WJ68" s="21"/>
      <c r="WK68" s="21"/>
      <c r="WL68" s="21"/>
      <c r="WM68" s="21"/>
      <c r="WN68" s="21"/>
      <c r="WO68" s="21"/>
      <c r="WP68" s="21"/>
      <c r="WQ68" s="21"/>
      <c r="WR68" s="21"/>
      <c r="WS68" s="21"/>
      <c r="WT68" s="21"/>
      <c r="WU68" s="21"/>
      <c r="WV68" s="21"/>
      <c r="WW68" s="21"/>
      <c r="WX68" s="21"/>
      <c r="WY68" s="21"/>
      <c r="WZ68" s="21"/>
      <c r="XA68" s="21"/>
      <c r="XB68" s="21"/>
      <c r="XC68" s="21"/>
      <c r="XD68" s="21"/>
      <c r="XE68" s="21"/>
      <c r="XF68" s="21"/>
      <c r="XG68" s="21"/>
      <c r="XH68" s="21"/>
      <c r="XI68" s="21"/>
      <c r="XJ68" s="21"/>
      <c r="XK68" s="21"/>
      <c r="XL68" s="21"/>
      <c r="XM68" s="21"/>
      <c r="XN68" s="21"/>
      <c r="XO68" s="21"/>
      <c r="XP68" s="21"/>
      <c r="XQ68" s="21"/>
      <c r="XR68" s="21"/>
      <c r="XS68" s="21"/>
      <c r="XT68" s="21"/>
      <c r="XU68" s="21"/>
      <c r="XV68" s="21"/>
      <c r="XW68" s="21"/>
      <c r="XX68" s="21"/>
      <c r="XY68" s="21"/>
      <c r="XZ68" s="21"/>
      <c r="YA68" s="21"/>
      <c r="YB68" s="21"/>
      <c r="YC68" s="21"/>
      <c r="YD68" s="21"/>
      <c r="YE68" s="21"/>
      <c r="YF68" s="21"/>
      <c r="YG68" s="21"/>
      <c r="YH68" s="21"/>
      <c r="YI68" s="21"/>
      <c r="YJ68" s="21"/>
      <c r="YK68" s="21"/>
      <c r="YL68" s="21"/>
      <c r="YM68" s="21"/>
      <c r="YN68" s="21"/>
      <c r="YO68" s="21"/>
      <c r="YP68" s="21"/>
      <c r="YQ68" s="21"/>
      <c r="YR68" s="21"/>
      <c r="YS68" s="21"/>
      <c r="YT68" s="21"/>
      <c r="YU68" s="21"/>
      <c r="YV68" s="21"/>
      <c r="YW68" s="21"/>
      <c r="YX68" s="21"/>
      <c r="YY68" s="21"/>
      <c r="YZ68" s="21"/>
      <c r="ZA68" s="21"/>
      <c r="ZB68" s="21"/>
      <c r="ZC68" s="21"/>
      <c r="ZD68" s="21"/>
      <c r="ZE68" s="21"/>
      <c r="ZF68" s="21"/>
      <c r="ZG68" s="21"/>
      <c r="ZH68" s="21"/>
      <c r="ZI68" s="21"/>
      <c r="ZJ68" s="21"/>
      <c r="ZK68" s="21"/>
      <c r="ZL68" s="21"/>
      <c r="ZM68" s="21"/>
      <c r="ZN68" s="21"/>
      <c r="ZO68" s="21"/>
      <c r="ZP68" s="21"/>
      <c r="ZQ68" s="21"/>
      <c r="ZR68" s="21"/>
      <c r="ZS68" s="21"/>
      <c r="ZT68" s="21"/>
      <c r="ZU68" s="21"/>
      <c r="ZV68" s="21"/>
      <c r="ZW68" s="21"/>
      <c r="ZX68" s="21"/>
      <c r="ZY68" s="21"/>
      <c r="ZZ68" s="21"/>
      <c r="AAA68" s="21"/>
      <c r="AAB68" s="21"/>
      <c r="AAC68" s="21"/>
      <c r="AAD68" s="21"/>
      <c r="AAE68" s="21"/>
      <c r="AAF68" s="21"/>
      <c r="AAG68" s="21"/>
      <c r="AAH68" s="21"/>
      <c r="AAI68" s="21"/>
      <c r="AAJ68" s="21"/>
      <c r="AAK68" s="21"/>
      <c r="AAL68" s="21"/>
      <c r="AAM68" s="21"/>
      <c r="AAN68" s="21"/>
      <c r="AAO68" s="21"/>
      <c r="AAP68" s="21"/>
      <c r="AAQ68" s="21"/>
      <c r="AAR68" s="21"/>
      <c r="AAS68" s="21"/>
      <c r="AAT68" s="21"/>
      <c r="AAU68" s="21"/>
      <c r="AAV68" s="21"/>
      <c r="AAW68" s="21"/>
      <c r="AAX68" s="21"/>
      <c r="AAY68" s="21"/>
      <c r="AAZ68" s="21"/>
      <c r="ABA68" s="21"/>
      <c r="ABB68" s="21"/>
      <c r="ABC68" s="21"/>
      <c r="ABD68" s="21"/>
      <c r="ABE68" s="21"/>
      <c r="ABF68" s="21"/>
      <c r="ABG68" s="21"/>
      <c r="ABH68" s="21"/>
      <c r="ABI68" s="21"/>
      <c r="ABJ68" s="21"/>
      <c r="ABK68" s="21"/>
      <c r="ABL68" s="21"/>
      <c r="ABM68" s="21"/>
      <c r="ABN68" s="21"/>
      <c r="ABO68" s="21"/>
      <c r="ABP68" s="21"/>
      <c r="ABQ68" s="21"/>
      <c r="ABR68" s="21"/>
      <c r="ABS68" s="21"/>
      <c r="ABT68" s="21"/>
      <c r="ABU68" s="21"/>
      <c r="ABV68" s="21"/>
      <c r="ABW68" s="21"/>
      <c r="ABX68" s="21"/>
      <c r="ABY68" s="21"/>
      <c r="ABZ68" s="21"/>
      <c r="ACA68" s="21"/>
      <c r="ACB68" s="21"/>
      <c r="ACC68" s="21"/>
      <c r="ACD68" s="21"/>
      <c r="ACE68" s="21"/>
      <c r="ACF68" s="21"/>
      <c r="ACG68" s="21"/>
      <c r="ACH68" s="21"/>
      <c r="ACI68" s="21"/>
      <c r="ACJ68" s="21"/>
      <c r="ACK68" s="21"/>
      <c r="ACL68" s="21"/>
      <c r="ACM68" s="21"/>
      <c r="ACN68" s="21"/>
      <c r="ACO68" s="21"/>
      <c r="ACP68" s="21"/>
      <c r="ACQ68" s="21"/>
      <c r="ACR68" s="21"/>
      <c r="ACS68" s="21"/>
      <c r="ACT68" s="21"/>
      <c r="ACU68" s="21"/>
      <c r="ACV68" s="21"/>
      <c r="ACW68" s="21"/>
      <c r="ACX68" s="21"/>
      <c r="ACY68" s="21"/>
      <c r="ACZ68" s="21"/>
      <c r="ADA68" s="21"/>
      <c r="ADB68" s="21"/>
      <c r="ADC68" s="21"/>
      <c r="ADD68" s="21"/>
      <c r="ADE68" s="21"/>
      <c r="ADF68" s="21"/>
      <c r="ADG68" s="21"/>
      <c r="ADH68" s="21"/>
      <c r="ADI68" s="21"/>
      <c r="ADJ68" s="21"/>
      <c r="ADK68" s="21"/>
      <c r="ADL68" s="21"/>
      <c r="ADM68" s="21"/>
      <c r="ADN68" s="21"/>
      <c r="ADO68" s="21"/>
      <c r="ADP68" s="21"/>
      <c r="ADQ68" s="21"/>
      <c r="ADR68" s="21"/>
      <c r="ADS68" s="21"/>
      <c r="ADT68" s="21"/>
      <c r="ADU68" s="21"/>
      <c r="ADV68" s="21"/>
      <c r="ADW68" s="21"/>
      <c r="ADX68" s="21"/>
      <c r="ADY68" s="21"/>
      <c r="ADZ68" s="21"/>
      <c r="AEA68" s="21"/>
      <c r="AEB68" s="21"/>
      <c r="AEC68" s="21"/>
      <c r="AED68" s="21"/>
      <c r="AEE68" s="21"/>
      <c r="AEF68" s="21"/>
      <c r="AEG68" s="21"/>
    </row>
    <row r="69" spans="1:813" s="93" customFormat="1" ht="60" x14ac:dyDescent="0.25">
      <c r="A69" s="189">
        <v>25</v>
      </c>
      <c r="B69" s="183" t="s">
        <v>371</v>
      </c>
      <c r="C69" s="80" t="s">
        <v>370</v>
      </c>
      <c r="D69" s="63" t="s">
        <v>369</v>
      </c>
      <c r="E69" s="36" t="s">
        <v>368</v>
      </c>
      <c r="F69" s="111">
        <v>20.95</v>
      </c>
      <c r="G69" s="32">
        <f>2/2</f>
        <v>1</v>
      </c>
      <c r="H69" s="33">
        <f t="shared" si="2"/>
        <v>20</v>
      </c>
      <c r="I69" s="32">
        <f>14/2</f>
        <v>7</v>
      </c>
      <c r="J69" s="33">
        <f t="shared" si="15"/>
        <v>150</v>
      </c>
      <c r="K69" s="32">
        <f>16/2</f>
        <v>8</v>
      </c>
      <c r="L69" s="33">
        <f t="shared" si="16"/>
        <v>170</v>
      </c>
      <c r="M69" s="32">
        <f>15/2</f>
        <v>7.5</v>
      </c>
      <c r="N69" s="33">
        <f t="shared" si="17"/>
        <v>160</v>
      </c>
      <c r="O69" s="32">
        <f>5/2</f>
        <v>2.5</v>
      </c>
      <c r="P69" s="33">
        <f t="shared" si="6"/>
        <v>50</v>
      </c>
      <c r="Q69" s="32">
        <f>182/2</f>
        <v>91</v>
      </c>
      <c r="R69" s="33">
        <f t="shared" si="7"/>
        <v>1910</v>
      </c>
      <c r="S69" s="32">
        <f>3/2</f>
        <v>1.5</v>
      </c>
      <c r="T69" s="33">
        <f>ROUND($F69*S69,-1)</f>
        <v>30</v>
      </c>
      <c r="U69" s="32">
        <f>33/2</f>
        <v>16.5</v>
      </c>
      <c r="V69" s="33">
        <f t="shared" si="18"/>
        <v>350</v>
      </c>
      <c r="W69" s="32">
        <f>2/2</f>
        <v>1</v>
      </c>
      <c r="X69" s="33">
        <f t="shared" si="10"/>
        <v>20</v>
      </c>
      <c r="Y69" s="32">
        <f>47/2</f>
        <v>23.5</v>
      </c>
      <c r="Z69" s="33">
        <f t="shared" si="11"/>
        <v>490</v>
      </c>
      <c r="AA69" s="32">
        <f>5/2</f>
        <v>2.5</v>
      </c>
      <c r="AB69" s="33">
        <f t="shared" si="19"/>
        <v>50</v>
      </c>
      <c r="AC69" s="32">
        <f>4/2</f>
        <v>2</v>
      </c>
      <c r="AD69" s="33">
        <f t="shared" si="20"/>
        <v>40</v>
      </c>
      <c r="AE69" s="32"/>
      <c r="AF69" s="33">
        <f t="shared" si="14"/>
        <v>3440</v>
      </c>
      <c r="AG69" s="33">
        <v>0</v>
      </c>
      <c r="AH69" s="33">
        <v>0</v>
      </c>
      <c r="AI69" s="32">
        <v>0</v>
      </c>
      <c r="AJ69" s="31">
        <v>185105.22935998</v>
      </c>
      <c r="AK69" s="31">
        <v>15078.073165346754</v>
      </c>
      <c r="AL69" s="31">
        <v>200183.30252532676</v>
      </c>
      <c r="AM69" s="30" t="s">
        <v>18</v>
      </c>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c r="IQ69" s="21"/>
      <c r="IR69" s="21"/>
      <c r="IS69" s="21"/>
      <c r="IT69" s="21"/>
      <c r="IU69" s="21"/>
      <c r="IV69" s="21"/>
      <c r="IW69" s="21"/>
      <c r="IX69" s="21"/>
      <c r="IY69" s="21"/>
      <c r="IZ69" s="21"/>
      <c r="JA69" s="21"/>
      <c r="JB69" s="21"/>
      <c r="JC69" s="21"/>
      <c r="JD69" s="21"/>
      <c r="JE69" s="21"/>
      <c r="JF69" s="21"/>
      <c r="JG69" s="21"/>
      <c r="JH69" s="21"/>
      <c r="JI69" s="21"/>
      <c r="JJ69" s="21"/>
      <c r="JK69" s="21"/>
      <c r="JL69" s="21"/>
      <c r="JM69" s="21"/>
      <c r="JN69" s="21"/>
      <c r="JO69" s="21"/>
      <c r="JP69" s="21"/>
      <c r="JQ69" s="21"/>
      <c r="JR69" s="21"/>
      <c r="JS69" s="21"/>
      <c r="JT69" s="21"/>
      <c r="JU69" s="21"/>
      <c r="JV69" s="21"/>
      <c r="JW69" s="21"/>
      <c r="JX69" s="21"/>
      <c r="JY69" s="21"/>
      <c r="JZ69" s="21"/>
      <c r="KA69" s="21"/>
      <c r="KB69" s="21"/>
      <c r="KC69" s="21"/>
      <c r="KD69" s="21"/>
      <c r="KE69" s="21"/>
      <c r="KF69" s="21"/>
      <c r="KG69" s="21"/>
      <c r="KH69" s="21"/>
      <c r="KI69" s="21"/>
      <c r="KJ69" s="21"/>
      <c r="KK69" s="21"/>
      <c r="KL69" s="21"/>
      <c r="KM69" s="21"/>
      <c r="KN69" s="21"/>
      <c r="KO69" s="21"/>
      <c r="KP69" s="21"/>
      <c r="KQ69" s="21"/>
      <c r="KR69" s="21"/>
      <c r="KS69" s="21"/>
      <c r="KT69" s="21"/>
      <c r="KU69" s="21"/>
      <c r="KV69" s="21"/>
      <c r="KW69" s="21"/>
      <c r="KX69" s="21"/>
      <c r="KY69" s="21"/>
      <c r="KZ69" s="21"/>
      <c r="LA69" s="21"/>
      <c r="LB69" s="21"/>
      <c r="LC69" s="21"/>
      <c r="LD69" s="21"/>
      <c r="LE69" s="21"/>
      <c r="LF69" s="21"/>
      <c r="LG69" s="21"/>
      <c r="LH69" s="21"/>
      <c r="LI69" s="21"/>
      <c r="LJ69" s="21"/>
      <c r="LK69" s="21"/>
      <c r="LL69" s="21"/>
      <c r="LM69" s="21"/>
      <c r="LN69" s="21"/>
      <c r="LO69" s="21"/>
      <c r="LP69" s="21"/>
      <c r="LQ69" s="21"/>
      <c r="LR69" s="21"/>
      <c r="LS69" s="21"/>
      <c r="LT69" s="21"/>
      <c r="LU69" s="21"/>
      <c r="LV69" s="21"/>
      <c r="LW69" s="21"/>
      <c r="LX69" s="21"/>
      <c r="LY69" s="21"/>
      <c r="LZ69" s="21"/>
      <c r="MA69" s="21"/>
      <c r="MB69" s="21"/>
      <c r="MC69" s="21"/>
      <c r="MD69" s="21"/>
      <c r="ME69" s="21"/>
      <c r="MF69" s="21"/>
      <c r="MG69" s="21"/>
      <c r="MH69" s="21"/>
      <c r="MI69" s="21"/>
      <c r="MJ69" s="21"/>
      <c r="MK69" s="21"/>
      <c r="ML69" s="21"/>
      <c r="MM69" s="21"/>
      <c r="MN69" s="21"/>
      <c r="MO69" s="21"/>
      <c r="MP69" s="21"/>
      <c r="MQ69" s="21"/>
      <c r="MR69" s="21"/>
      <c r="MS69" s="21"/>
      <c r="MT69" s="21"/>
      <c r="MU69" s="21"/>
      <c r="MV69" s="21"/>
      <c r="MW69" s="21"/>
      <c r="MX69" s="21"/>
      <c r="MY69" s="21"/>
      <c r="MZ69" s="21"/>
      <c r="NA69" s="21"/>
      <c r="NB69" s="21"/>
      <c r="NC69" s="21"/>
      <c r="ND69" s="21"/>
      <c r="NE69" s="21"/>
      <c r="NF69" s="21"/>
      <c r="NG69" s="21"/>
      <c r="NH69" s="21"/>
      <c r="NI69" s="21"/>
      <c r="NJ69" s="21"/>
      <c r="NK69" s="21"/>
      <c r="NL69" s="21"/>
      <c r="NM69" s="21"/>
      <c r="NN69" s="21"/>
      <c r="NO69" s="21"/>
      <c r="NP69" s="21"/>
      <c r="NQ69" s="21"/>
      <c r="NR69" s="21"/>
      <c r="NS69" s="21"/>
      <c r="NT69" s="21"/>
      <c r="NU69" s="21"/>
      <c r="NV69" s="21"/>
      <c r="NW69" s="21"/>
      <c r="NX69" s="21"/>
      <c r="NY69" s="21"/>
      <c r="NZ69" s="21"/>
      <c r="OA69" s="21"/>
      <c r="OB69" s="21"/>
      <c r="OC69" s="21"/>
      <c r="OD69" s="21"/>
      <c r="OE69" s="21"/>
      <c r="OF69" s="21"/>
      <c r="OG69" s="21"/>
      <c r="OH69" s="21"/>
      <c r="OI69" s="21"/>
      <c r="OJ69" s="21"/>
      <c r="OK69" s="21"/>
      <c r="OL69" s="21"/>
      <c r="OM69" s="21"/>
      <c r="ON69" s="21"/>
      <c r="OO69" s="21"/>
      <c r="OP69" s="21"/>
      <c r="OQ69" s="21"/>
      <c r="OR69" s="21"/>
      <c r="OS69" s="21"/>
      <c r="OT69" s="21"/>
      <c r="OU69" s="21"/>
      <c r="OV69" s="21"/>
      <c r="OW69" s="21"/>
      <c r="OX69" s="21"/>
      <c r="OY69" s="21"/>
      <c r="OZ69" s="21"/>
      <c r="PA69" s="21"/>
      <c r="PB69" s="21"/>
      <c r="PC69" s="21"/>
      <c r="PD69" s="21"/>
      <c r="PE69" s="21"/>
      <c r="PF69" s="21"/>
      <c r="PG69" s="21"/>
      <c r="PH69" s="21"/>
      <c r="PI69" s="21"/>
      <c r="PJ69" s="21"/>
      <c r="PK69" s="21"/>
      <c r="PL69" s="21"/>
      <c r="PM69" s="21"/>
      <c r="PN69" s="21"/>
      <c r="PO69" s="21"/>
      <c r="PP69" s="21"/>
      <c r="PQ69" s="21"/>
      <c r="PR69" s="21"/>
      <c r="PS69" s="21"/>
      <c r="PT69" s="21"/>
      <c r="PU69" s="21"/>
      <c r="PV69" s="21"/>
      <c r="PW69" s="21"/>
      <c r="PX69" s="21"/>
      <c r="PY69" s="21"/>
      <c r="PZ69" s="21"/>
      <c r="QA69" s="21"/>
      <c r="QB69" s="21"/>
      <c r="QC69" s="21"/>
      <c r="QD69" s="21"/>
      <c r="QE69" s="21"/>
      <c r="QF69" s="21"/>
      <c r="QG69" s="21"/>
      <c r="QH69" s="21"/>
      <c r="QI69" s="21"/>
      <c r="QJ69" s="21"/>
      <c r="QK69" s="21"/>
      <c r="QL69" s="21"/>
      <c r="QM69" s="21"/>
      <c r="QN69" s="21"/>
      <c r="QO69" s="21"/>
      <c r="QP69" s="21"/>
      <c r="QQ69" s="21"/>
      <c r="QR69" s="21"/>
      <c r="QS69" s="21"/>
      <c r="QT69" s="21"/>
      <c r="QU69" s="21"/>
      <c r="QV69" s="21"/>
      <c r="QW69" s="21"/>
      <c r="QX69" s="21"/>
      <c r="QY69" s="21"/>
      <c r="QZ69" s="21"/>
      <c r="RA69" s="21"/>
      <c r="RB69" s="21"/>
      <c r="RC69" s="21"/>
      <c r="RD69" s="21"/>
      <c r="RE69" s="21"/>
      <c r="RF69" s="21"/>
      <c r="RG69" s="21"/>
      <c r="RH69" s="21"/>
      <c r="RI69" s="21"/>
      <c r="RJ69" s="21"/>
      <c r="RK69" s="21"/>
      <c r="RL69" s="21"/>
      <c r="RM69" s="21"/>
      <c r="RN69" s="21"/>
      <c r="RO69" s="21"/>
      <c r="RP69" s="21"/>
      <c r="RQ69" s="21"/>
      <c r="RR69" s="21"/>
      <c r="RS69" s="21"/>
      <c r="RT69" s="21"/>
      <c r="RU69" s="21"/>
      <c r="RV69" s="21"/>
      <c r="RW69" s="21"/>
      <c r="RX69" s="21"/>
      <c r="RY69" s="21"/>
      <c r="RZ69" s="21"/>
      <c r="SA69" s="21"/>
      <c r="SB69" s="21"/>
      <c r="SC69" s="21"/>
      <c r="SD69" s="21"/>
      <c r="SE69" s="21"/>
      <c r="SF69" s="21"/>
      <c r="SG69" s="21"/>
      <c r="SH69" s="21"/>
      <c r="SI69" s="21"/>
      <c r="SJ69" s="21"/>
      <c r="SK69" s="21"/>
      <c r="SL69" s="21"/>
      <c r="SM69" s="21"/>
      <c r="SN69" s="21"/>
      <c r="SO69" s="21"/>
      <c r="SP69" s="21"/>
      <c r="SQ69" s="21"/>
      <c r="SR69" s="21"/>
      <c r="SS69" s="21"/>
      <c r="ST69" s="21"/>
      <c r="SU69" s="21"/>
      <c r="SV69" s="21"/>
      <c r="SW69" s="21"/>
      <c r="SX69" s="21"/>
      <c r="SY69" s="21"/>
      <c r="SZ69" s="21"/>
      <c r="TA69" s="21"/>
      <c r="TB69" s="21"/>
      <c r="TC69" s="21"/>
      <c r="TD69" s="21"/>
      <c r="TE69" s="21"/>
      <c r="TF69" s="21"/>
      <c r="TG69" s="21"/>
      <c r="TH69" s="21"/>
      <c r="TI69" s="21"/>
      <c r="TJ69" s="21"/>
      <c r="TK69" s="21"/>
      <c r="TL69" s="21"/>
      <c r="TM69" s="21"/>
      <c r="TN69" s="21"/>
      <c r="TO69" s="21"/>
      <c r="TP69" s="21"/>
      <c r="TQ69" s="21"/>
      <c r="TR69" s="21"/>
      <c r="TS69" s="21"/>
      <c r="TT69" s="21"/>
      <c r="TU69" s="21"/>
      <c r="TV69" s="21"/>
      <c r="TW69" s="21"/>
      <c r="TX69" s="21"/>
      <c r="TY69" s="21"/>
      <c r="TZ69" s="21"/>
      <c r="UA69" s="21"/>
      <c r="UB69" s="21"/>
      <c r="UC69" s="21"/>
      <c r="UD69" s="21"/>
      <c r="UE69" s="21"/>
      <c r="UF69" s="21"/>
      <c r="UG69" s="21"/>
      <c r="UH69" s="21"/>
      <c r="UI69" s="21"/>
      <c r="UJ69" s="21"/>
      <c r="UK69" s="21"/>
      <c r="UL69" s="21"/>
      <c r="UM69" s="21"/>
      <c r="UN69" s="21"/>
      <c r="UO69" s="21"/>
      <c r="UP69" s="21"/>
      <c r="UQ69" s="21"/>
      <c r="UR69" s="21"/>
      <c r="US69" s="21"/>
      <c r="UT69" s="21"/>
      <c r="UU69" s="21"/>
      <c r="UV69" s="21"/>
      <c r="UW69" s="21"/>
      <c r="UX69" s="21"/>
      <c r="UY69" s="21"/>
      <c r="UZ69" s="21"/>
      <c r="VA69" s="21"/>
      <c r="VB69" s="21"/>
      <c r="VC69" s="21"/>
      <c r="VD69" s="21"/>
      <c r="VE69" s="21"/>
      <c r="VF69" s="21"/>
      <c r="VG69" s="21"/>
      <c r="VH69" s="21"/>
      <c r="VI69" s="21"/>
      <c r="VJ69" s="21"/>
      <c r="VK69" s="21"/>
      <c r="VL69" s="21"/>
      <c r="VM69" s="21"/>
      <c r="VN69" s="21"/>
      <c r="VO69" s="21"/>
      <c r="VP69" s="21"/>
      <c r="VQ69" s="21"/>
      <c r="VR69" s="21"/>
      <c r="VS69" s="21"/>
      <c r="VT69" s="21"/>
      <c r="VU69" s="21"/>
      <c r="VV69" s="21"/>
      <c r="VW69" s="21"/>
      <c r="VX69" s="21"/>
      <c r="VY69" s="21"/>
      <c r="VZ69" s="21"/>
      <c r="WA69" s="21"/>
      <c r="WB69" s="21"/>
      <c r="WC69" s="21"/>
      <c r="WD69" s="21"/>
      <c r="WE69" s="21"/>
      <c r="WF69" s="21"/>
      <c r="WG69" s="21"/>
      <c r="WH69" s="21"/>
      <c r="WI69" s="21"/>
      <c r="WJ69" s="21"/>
      <c r="WK69" s="21"/>
      <c r="WL69" s="21"/>
      <c r="WM69" s="21"/>
      <c r="WN69" s="21"/>
      <c r="WO69" s="21"/>
      <c r="WP69" s="21"/>
      <c r="WQ69" s="21"/>
      <c r="WR69" s="21"/>
      <c r="WS69" s="21"/>
      <c r="WT69" s="21"/>
      <c r="WU69" s="21"/>
      <c r="WV69" s="21"/>
      <c r="WW69" s="21"/>
      <c r="WX69" s="21"/>
      <c r="WY69" s="21"/>
      <c r="WZ69" s="21"/>
      <c r="XA69" s="21"/>
      <c r="XB69" s="21"/>
      <c r="XC69" s="21"/>
      <c r="XD69" s="21"/>
      <c r="XE69" s="21"/>
      <c r="XF69" s="21"/>
      <c r="XG69" s="21"/>
      <c r="XH69" s="21"/>
      <c r="XI69" s="21"/>
      <c r="XJ69" s="21"/>
      <c r="XK69" s="21"/>
      <c r="XL69" s="21"/>
      <c r="XM69" s="21"/>
      <c r="XN69" s="21"/>
      <c r="XO69" s="21"/>
      <c r="XP69" s="21"/>
      <c r="XQ69" s="21"/>
      <c r="XR69" s="21"/>
      <c r="XS69" s="21"/>
      <c r="XT69" s="21"/>
      <c r="XU69" s="21"/>
      <c r="XV69" s="21"/>
      <c r="XW69" s="21"/>
      <c r="XX69" s="21"/>
      <c r="XY69" s="21"/>
      <c r="XZ69" s="21"/>
      <c r="YA69" s="21"/>
      <c r="YB69" s="21"/>
      <c r="YC69" s="21"/>
      <c r="YD69" s="21"/>
      <c r="YE69" s="21"/>
      <c r="YF69" s="21"/>
      <c r="YG69" s="21"/>
      <c r="YH69" s="21"/>
      <c r="YI69" s="21"/>
      <c r="YJ69" s="21"/>
      <c r="YK69" s="21"/>
      <c r="YL69" s="21"/>
      <c r="YM69" s="21"/>
      <c r="YN69" s="21"/>
      <c r="YO69" s="21"/>
      <c r="YP69" s="21"/>
      <c r="YQ69" s="21"/>
      <c r="YR69" s="21"/>
      <c r="YS69" s="21"/>
      <c r="YT69" s="21"/>
      <c r="YU69" s="21"/>
      <c r="YV69" s="21"/>
      <c r="YW69" s="21"/>
      <c r="YX69" s="21"/>
      <c r="YY69" s="21"/>
      <c r="YZ69" s="21"/>
      <c r="ZA69" s="21"/>
      <c r="ZB69" s="21"/>
      <c r="ZC69" s="21"/>
      <c r="ZD69" s="21"/>
      <c r="ZE69" s="21"/>
      <c r="ZF69" s="21"/>
      <c r="ZG69" s="21"/>
      <c r="ZH69" s="21"/>
      <c r="ZI69" s="21"/>
      <c r="ZJ69" s="21"/>
      <c r="ZK69" s="21"/>
      <c r="ZL69" s="21"/>
      <c r="ZM69" s="21"/>
      <c r="ZN69" s="21"/>
      <c r="ZO69" s="21"/>
      <c r="ZP69" s="21"/>
      <c r="ZQ69" s="21"/>
      <c r="ZR69" s="21"/>
      <c r="ZS69" s="21"/>
      <c r="ZT69" s="21"/>
      <c r="ZU69" s="21"/>
      <c r="ZV69" s="21"/>
      <c r="ZW69" s="21"/>
      <c r="ZX69" s="21"/>
      <c r="ZY69" s="21"/>
      <c r="ZZ69" s="21"/>
      <c r="AAA69" s="21"/>
      <c r="AAB69" s="21"/>
      <c r="AAC69" s="21"/>
      <c r="AAD69" s="21"/>
      <c r="AAE69" s="21"/>
      <c r="AAF69" s="21"/>
      <c r="AAG69" s="21"/>
      <c r="AAH69" s="21"/>
      <c r="AAI69" s="21"/>
      <c r="AAJ69" s="21"/>
      <c r="AAK69" s="21"/>
      <c r="AAL69" s="21"/>
      <c r="AAM69" s="21"/>
      <c r="AAN69" s="21"/>
      <c r="AAO69" s="21"/>
      <c r="AAP69" s="21"/>
      <c r="AAQ69" s="21"/>
      <c r="AAR69" s="21"/>
      <c r="AAS69" s="21"/>
      <c r="AAT69" s="21"/>
      <c r="AAU69" s="21"/>
      <c r="AAV69" s="21"/>
      <c r="AAW69" s="21"/>
      <c r="AAX69" s="21"/>
      <c r="AAY69" s="21"/>
      <c r="AAZ69" s="21"/>
      <c r="ABA69" s="21"/>
      <c r="ABB69" s="21"/>
      <c r="ABC69" s="21"/>
      <c r="ABD69" s="21"/>
      <c r="ABE69" s="21"/>
      <c r="ABF69" s="21"/>
      <c r="ABG69" s="21"/>
      <c r="ABH69" s="21"/>
      <c r="ABI69" s="21"/>
      <c r="ABJ69" s="21"/>
      <c r="ABK69" s="21"/>
      <c r="ABL69" s="21"/>
      <c r="ABM69" s="21"/>
      <c r="ABN69" s="21"/>
      <c r="ABO69" s="21"/>
      <c r="ABP69" s="21"/>
      <c r="ABQ69" s="21"/>
      <c r="ABR69" s="21"/>
      <c r="ABS69" s="21"/>
      <c r="ABT69" s="21"/>
      <c r="ABU69" s="21"/>
      <c r="ABV69" s="21"/>
      <c r="ABW69" s="21"/>
      <c r="ABX69" s="21"/>
      <c r="ABY69" s="21"/>
      <c r="ABZ69" s="21"/>
      <c r="ACA69" s="21"/>
      <c r="ACB69" s="21"/>
      <c r="ACC69" s="21"/>
      <c r="ACD69" s="21"/>
      <c r="ACE69" s="21"/>
      <c r="ACF69" s="21"/>
      <c r="ACG69" s="21"/>
      <c r="ACH69" s="21"/>
      <c r="ACI69" s="21"/>
      <c r="ACJ69" s="21"/>
      <c r="ACK69" s="21"/>
      <c r="ACL69" s="21"/>
      <c r="ACM69" s="21"/>
      <c r="ACN69" s="21"/>
      <c r="ACO69" s="21"/>
      <c r="ACP69" s="21"/>
      <c r="ACQ69" s="21"/>
      <c r="ACR69" s="21"/>
      <c r="ACS69" s="21"/>
      <c r="ACT69" s="21"/>
      <c r="ACU69" s="21"/>
      <c r="ACV69" s="21"/>
      <c r="ACW69" s="21"/>
      <c r="ACX69" s="21"/>
      <c r="ACY69" s="21"/>
      <c r="ACZ69" s="21"/>
      <c r="ADA69" s="21"/>
      <c r="ADB69" s="21"/>
      <c r="ADC69" s="21"/>
      <c r="ADD69" s="21"/>
      <c r="ADE69" s="21"/>
      <c r="ADF69" s="21"/>
      <c r="ADG69" s="21"/>
      <c r="ADH69" s="21"/>
      <c r="ADI69" s="21"/>
      <c r="ADJ69" s="21"/>
      <c r="ADK69" s="21"/>
      <c r="ADL69" s="21"/>
      <c r="ADM69" s="21"/>
      <c r="ADN69" s="21"/>
      <c r="ADO69" s="21"/>
      <c r="ADP69" s="21"/>
      <c r="ADQ69" s="21"/>
      <c r="ADR69" s="21"/>
      <c r="ADS69" s="21"/>
      <c r="ADT69" s="21"/>
      <c r="ADU69" s="21"/>
      <c r="ADV69" s="21"/>
      <c r="ADW69" s="21"/>
      <c r="ADX69" s="21"/>
      <c r="ADY69" s="21"/>
      <c r="ADZ69" s="21"/>
      <c r="AEA69" s="21"/>
      <c r="AEB69" s="21"/>
      <c r="AEC69" s="21"/>
      <c r="AED69" s="21"/>
      <c r="AEE69" s="21"/>
      <c r="AEF69" s="21"/>
      <c r="AEG69" s="21"/>
    </row>
    <row r="70" spans="1:813" s="93" customFormat="1" ht="45" x14ac:dyDescent="0.25">
      <c r="A70" s="189"/>
      <c r="B70" s="183"/>
      <c r="C70" s="80" t="s">
        <v>367</v>
      </c>
      <c r="D70" s="63" t="s">
        <v>366</v>
      </c>
      <c r="E70" s="36" t="s">
        <v>365</v>
      </c>
      <c r="F70" s="111">
        <v>62.333333333333336</v>
      </c>
      <c r="G70" s="32">
        <f>2/2</f>
        <v>1</v>
      </c>
      <c r="H70" s="33">
        <f t="shared" si="2"/>
        <v>60</v>
      </c>
      <c r="I70" s="32">
        <f>2/2</f>
        <v>1</v>
      </c>
      <c r="J70" s="33">
        <f t="shared" si="15"/>
        <v>60</v>
      </c>
      <c r="K70" s="32">
        <f>0</f>
        <v>0</v>
      </c>
      <c r="L70" s="33">
        <f t="shared" si="16"/>
        <v>0</v>
      </c>
      <c r="M70" s="32">
        <f>6/2</f>
        <v>3</v>
      </c>
      <c r="N70" s="33">
        <f t="shared" si="17"/>
        <v>190</v>
      </c>
      <c r="O70" s="32">
        <v>0</v>
      </c>
      <c r="P70" s="33">
        <f t="shared" si="6"/>
        <v>0</v>
      </c>
      <c r="Q70" s="32">
        <f>3/2</f>
        <v>1.5</v>
      </c>
      <c r="R70" s="33">
        <f t="shared" si="7"/>
        <v>90</v>
      </c>
      <c r="S70" s="32">
        <f>0</f>
        <v>0</v>
      </c>
      <c r="T70" s="33">
        <f>ROUND($F70*S70,-1)</f>
        <v>0</v>
      </c>
      <c r="U70" s="32">
        <f>3/2</f>
        <v>1.5</v>
      </c>
      <c r="V70" s="33">
        <f t="shared" si="18"/>
        <v>90</v>
      </c>
      <c r="W70" s="32">
        <f>1/2</f>
        <v>0.5</v>
      </c>
      <c r="X70" s="33">
        <f t="shared" si="10"/>
        <v>30</v>
      </c>
      <c r="Y70" s="32">
        <f>7/2</f>
        <v>3.5</v>
      </c>
      <c r="Z70" s="33">
        <f t="shared" si="11"/>
        <v>220</v>
      </c>
      <c r="AA70" s="32">
        <f>1/2</f>
        <v>0.5</v>
      </c>
      <c r="AB70" s="33">
        <f t="shared" si="19"/>
        <v>30</v>
      </c>
      <c r="AC70" s="32">
        <f>6/2</f>
        <v>3</v>
      </c>
      <c r="AD70" s="33">
        <f t="shared" si="20"/>
        <v>190</v>
      </c>
      <c r="AE70" s="32"/>
      <c r="AF70" s="33">
        <f t="shared" si="14"/>
        <v>960</v>
      </c>
      <c r="AG70" s="33">
        <v>0</v>
      </c>
      <c r="AH70" s="33">
        <v>0</v>
      </c>
      <c r="AI70" s="32">
        <v>0</v>
      </c>
      <c r="AJ70" s="31">
        <v>53727.603852786517</v>
      </c>
      <c r="AK70" s="31">
        <v>4376.4768002077199</v>
      </c>
      <c r="AL70" s="31">
        <v>58104.080652994235</v>
      </c>
      <c r="AM70" s="30" t="s">
        <v>18</v>
      </c>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c r="FL70" s="21"/>
      <c r="FM70" s="21"/>
      <c r="FN70" s="21"/>
      <c r="FO70" s="21"/>
      <c r="FP70" s="21"/>
      <c r="FQ70" s="21"/>
      <c r="FR70" s="21"/>
      <c r="FS70" s="21"/>
      <c r="FT70" s="21"/>
      <c r="FU70" s="21"/>
      <c r="FV70" s="21"/>
      <c r="FW70" s="21"/>
      <c r="FX70" s="21"/>
      <c r="FY70" s="21"/>
      <c r="FZ70" s="21"/>
      <c r="GA70" s="21"/>
      <c r="GB70" s="21"/>
      <c r="GC70" s="21"/>
      <c r="GD70" s="21"/>
      <c r="GE70" s="21"/>
      <c r="GF70" s="21"/>
      <c r="GG70" s="21"/>
      <c r="GH70" s="21"/>
      <c r="GI70" s="21"/>
      <c r="GJ70" s="21"/>
      <c r="GK70" s="21"/>
      <c r="GL70" s="21"/>
      <c r="GM70" s="21"/>
      <c r="GN70" s="21"/>
      <c r="GO70" s="21"/>
      <c r="GP70" s="21"/>
      <c r="GQ70" s="21"/>
      <c r="GR70" s="21"/>
      <c r="GS70" s="21"/>
      <c r="GT70" s="21"/>
      <c r="GU70" s="21"/>
      <c r="GV70" s="21"/>
      <c r="GW70" s="21"/>
      <c r="GX70" s="21"/>
      <c r="GY70" s="21"/>
      <c r="GZ70" s="21"/>
      <c r="HA70" s="21"/>
      <c r="HB70" s="21"/>
      <c r="HC70" s="21"/>
      <c r="HD70" s="21"/>
      <c r="HE70" s="21"/>
      <c r="HF70" s="21"/>
      <c r="HG70" s="21"/>
      <c r="HH70" s="21"/>
      <c r="HI70" s="21"/>
      <c r="HJ70" s="21"/>
      <c r="HK70" s="21"/>
      <c r="HL70" s="21"/>
      <c r="HM70" s="21"/>
      <c r="HN70" s="21"/>
      <c r="HO70" s="21"/>
      <c r="HP70" s="21"/>
      <c r="HQ70" s="21"/>
      <c r="HR70" s="21"/>
      <c r="HS70" s="21"/>
      <c r="HT70" s="21"/>
      <c r="HU70" s="21"/>
      <c r="HV70" s="21"/>
      <c r="HW70" s="21"/>
      <c r="HX70" s="21"/>
      <c r="HY70" s="21"/>
      <c r="HZ70" s="21"/>
      <c r="IA70" s="21"/>
      <c r="IB70" s="21"/>
      <c r="IC70" s="21"/>
      <c r="ID70" s="21"/>
      <c r="IE70" s="21"/>
      <c r="IF70" s="21"/>
      <c r="IG70" s="21"/>
      <c r="IH70" s="21"/>
      <c r="II70" s="21"/>
      <c r="IJ70" s="21"/>
      <c r="IK70" s="21"/>
      <c r="IL70" s="21"/>
      <c r="IM70" s="21"/>
      <c r="IN70" s="21"/>
      <c r="IO70" s="21"/>
      <c r="IP70" s="21"/>
      <c r="IQ70" s="21"/>
      <c r="IR70" s="21"/>
      <c r="IS70" s="21"/>
      <c r="IT70" s="21"/>
      <c r="IU70" s="21"/>
      <c r="IV70" s="21"/>
      <c r="IW70" s="21"/>
      <c r="IX70" s="21"/>
      <c r="IY70" s="21"/>
      <c r="IZ70" s="21"/>
      <c r="JA70" s="21"/>
      <c r="JB70" s="21"/>
      <c r="JC70" s="21"/>
      <c r="JD70" s="21"/>
      <c r="JE70" s="21"/>
      <c r="JF70" s="21"/>
      <c r="JG70" s="21"/>
      <c r="JH70" s="21"/>
      <c r="JI70" s="21"/>
      <c r="JJ70" s="21"/>
      <c r="JK70" s="21"/>
      <c r="JL70" s="21"/>
      <c r="JM70" s="21"/>
      <c r="JN70" s="21"/>
      <c r="JO70" s="21"/>
      <c r="JP70" s="21"/>
      <c r="JQ70" s="21"/>
      <c r="JR70" s="21"/>
      <c r="JS70" s="21"/>
      <c r="JT70" s="21"/>
      <c r="JU70" s="21"/>
      <c r="JV70" s="21"/>
      <c r="JW70" s="21"/>
      <c r="JX70" s="21"/>
      <c r="JY70" s="21"/>
      <c r="JZ70" s="21"/>
      <c r="KA70" s="21"/>
      <c r="KB70" s="21"/>
      <c r="KC70" s="21"/>
      <c r="KD70" s="21"/>
      <c r="KE70" s="21"/>
      <c r="KF70" s="21"/>
      <c r="KG70" s="21"/>
      <c r="KH70" s="21"/>
      <c r="KI70" s="21"/>
      <c r="KJ70" s="21"/>
      <c r="KK70" s="21"/>
      <c r="KL70" s="21"/>
      <c r="KM70" s="21"/>
      <c r="KN70" s="21"/>
      <c r="KO70" s="21"/>
      <c r="KP70" s="21"/>
      <c r="KQ70" s="21"/>
      <c r="KR70" s="21"/>
      <c r="KS70" s="21"/>
      <c r="KT70" s="21"/>
      <c r="KU70" s="21"/>
      <c r="KV70" s="21"/>
      <c r="KW70" s="21"/>
      <c r="KX70" s="21"/>
      <c r="KY70" s="21"/>
      <c r="KZ70" s="21"/>
      <c r="LA70" s="21"/>
      <c r="LB70" s="21"/>
      <c r="LC70" s="21"/>
      <c r="LD70" s="21"/>
      <c r="LE70" s="21"/>
      <c r="LF70" s="21"/>
      <c r="LG70" s="21"/>
      <c r="LH70" s="21"/>
      <c r="LI70" s="21"/>
      <c r="LJ70" s="21"/>
      <c r="LK70" s="21"/>
      <c r="LL70" s="21"/>
      <c r="LM70" s="21"/>
      <c r="LN70" s="21"/>
      <c r="LO70" s="21"/>
      <c r="LP70" s="21"/>
      <c r="LQ70" s="21"/>
      <c r="LR70" s="21"/>
      <c r="LS70" s="21"/>
      <c r="LT70" s="21"/>
      <c r="LU70" s="21"/>
      <c r="LV70" s="21"/>
      <c r="LW70" s="21"/>
      <c r="LX70" s="21"/>
      <c r="LY70" s="21"/>
      <c r="LZ70" s="21"/>
      <c r="MA70" s="21"/>
      <c r="MB70" s="21"/>
      <c r="MC70" s="21"/>
      <c r="MD70" s="21"/>
      <c r="ME70" s="21"/>
      <c r="MF70" s="21"/>
      <c r="MG70" s="21"/>
      <c r="MH70" s="21"/>
      <c r="MI70" s="21"/>
      <c r="MJ70" s="21"/>
      <c r="MK70" s="21"/>
      <c r="ML70" s="21"/>
      <c r="MM70" s="21"/>
      <c r="MN70" s="21"/>
      <c r="MO70" s="21"/>
      <c r="MP70" s="21"/>
      <c r="MQ70" s="21"/>
      <c r="MR70" s="21"/>
      <c r="MS70" s="21"/>
      <c r="MT70" s="21"/>
      <c r="MU70" s="21"/>
      <c r="MV70" s="21"/>
      <c r="MW70" s="21"/>
      <c r="MX70" s="21"/>
      <c r="MY70" s="21"/>
      <c r="MZ70" s="21"/>
      <c r="NA70" s="21"/>
      <c r="NB70" s="21"/>
      <c r="NC70" s="21"/>
      <c r="ND70" s="21"/>
      <c r="NE70" s="21"/>
      <c r="NF70" s="21"/>
      <c r="NG70" s="21"/>
      <c r="NH70" s="21"/>
      <c r="NI70" s="21"/>
      <c r="NJ70" s="21"/>
      <c r="NK70" s="21"/>
      <c r="NL70" s="21"/>
      <c r="NM70" s="21"/>
      <c r="NN70" s="21"/>
      <c r="NO70" s="21"/>
      <c r="NP70" s="21"/>
      <c r="NQ70" s="21"/>
      <c r="NR70" s="21"/>
      <c r="NS70" s="21"/>
      <c r="NT70" s="21"/>
      <c r="NU70" s="21"/>
      <c r="NV70" s="21"/>
      <c r="NW70" s="21"/>
      <c r="NX70" s="21"/>
      <c r="NY70" s="21"/>
      <c r="NZ70" s="21"/>
      <c r="OA70" s="21"/>
      <c r="OB70" s="21"/>
      <c r="OC70" s="21"/>
      <c r="OD70" s="21"/>
      <c r="OE70" s="21"/>
      <c r="OF70" s="21"/>
      <c r="OG70" s="21"/>
      <c r="OH70" s="21"/>
      <c r="OI70" s="21"/>
      <c r="OJ70" s="21"/>
      <c r="OK70" s="21"/>
      <c r="OL70" s="21"/>
      <c r="OM70" s="21"/>
      <c r="ON70" s="21"/>
      <c r="OO70" s="21"/>
      <c r="OP70" s="21"/>
      <c r="OQ70" s="21"/>
      <c r="OR70" s="21"/>
      <c r="OS70" s="21"/>
      <c r="OT70" s="21"/>
      <c r="OU70" s="21"/>
      <c r="OV70" s="21"/>
      <c r="OW70" s="21"/>
      <c r="OX70" s="21"/>
      <c r="OY70" s="21"/>
      <c r="OZ70" s="21"/>
      <c r="PA70" s="21"/>
      <c r="PB70" s="21"/>
      <c r="PC70" s="21"/>
      <c r="PD70" s="21"/>
      <c r="PE70" s="21"/>
      <c r="PF70" s="21"/>
      <c r="PG70" s="21"/>
      <c r="PH70" s="21"/>
      <c r="PI70" s="21"/>
      <c r="PJ70" s="21"/>
      <c r="PK70" s="21"/>
      <c r="PL70" s="21"/>
      <c r="PM70" s="21"/>
      <c r="PN70" s="21"/>
      <c r="PO70" s="21"/>
      <c r="PP70" s="21"/>
      <c r="PQ70" s="21"/>
      <c r="PR70" s="21"/>
      <c r="PS70" s="21"/>
      <c r="PT70" s="21"/>
      <c r="PU70" s="21"/>
      <c r="PV70" s="21"/>
      <c r="PW70" s="21"/>
      <c r="PX70" s="21"/>
      <c r="PY70" s="21"/>
      <c r="PZ70" s="21"/>
      <c r="QA70" s="21"/>
      <c r="QB70" s="21"/>
      <c r="QC70" s="21"/>
      <c r="QD70" s="21"/>
      <c r="QE70" s="21"/>
      <c r="QF70" s="21"/>
      <c r="QG70" s="21"/>
      <c r="QH70" s="21"/>
      <c r="QI70" s="21"/>
      <c r="QJ70" s="21"/>
      <c r="QK70" s="21"/>
      <c r="QL70" s="21"/>
      <c r="QM70" s="21"/>
      <c r="QN70" s="21"/>
      <c r="QO70" s="21"/>
      <c r="QP70" s="21"/>
      <c r="QQ70" s="21"/>
      <c r="QR70" s="21"/>
      <c r="QS70" s="21"/>
      <c r="QT70" s="21"/>
      <c r="QU70" s="21"/>
      <c r="QV70" s="21"/>
      <c r="QW70" s="21"/>
      <c r="QX70" s="21"/>
      <c r="QY70" s="21"/>
      <c r="QZ70" s="21"/>
      <c r="RA70" s="21"/>
      <c r="RB70" s="21"/>
      <c r="RC70" s="21"/>
      <c r="RD70" s="21"/>
      <c r="RE70" s="21"/>
      <c r="RF70" s="21"/>
      <c r="RG70" s="21"/>
      <c r="RH70" s="21"/>
      <c r="RI70" s="21"/>
      <c r="RJ70" s="21"/>
      <c r="RK70" s="21"/>
      <c r="RL70" s="21"/>
      <c r="RM70" s="21"/>
      <c r="RN70" s="21"/>
      <c r="RO70" s="21"/>
      <c r="RP70" s="21"/>
      <c r="RQ70" s="21"/>
      <c r="RR70" s="21"/>
      <c r="RS70" s="21"/>
      <c r="RT70" s="21"/>
      <c r="RU70" s="21"/>
      <c r="RV70" s="21"/>
      <c r="RW70" s="21"/>
      <c r="RX70" s="21"/>
      <c r="RY70" s="21"/>
      <c r="RZ70" s="21"/>
      <c r="SA70" s="21"/>
      <c r="SB70" s="21"/>
      <c r="SC70" s="21"/>
      <c r="SD70" s="21"/>
      <c r="SE70" s="21"/>
      <c r="SF70" s="21"/>
      <c r="SG70" s="21"/>
      <c r="SH70" s="21"/>
      <c r="SI70" s="21"/>
      <c r="SJ70" s="21"/>
      <c r="SK70" s="21"/>
      <c r="SL70" s="21"/>
      <c r="SM70" s="21"/>
      <c r="SN70" s="21"/>
      <c r="SO70" s="21"/>
      <c r="SP70" s="21"/>
      <c r="SQ70" s="21"/>
      <c r="SR70" s="21"/>
      <c r="SS70" s="21"/>
      <c r="ST70" s="21"/>
      <c r="SU70" s="21"/>
      <c r="SV70" s="21"/>
      <c r="SW70" s="21"/>
      <c r="SX70" s="21"/>
      <c r="SY70" s="21"/>
      <c r="SZ70" s="21"/>
      <c r="TA70" s="21"/>
      <c r="TB70" s="21"/>
      <c r="TC70" s="21"/>
      <c r="TD70" s="21"/>
      <c r="TE70" s="21"/>
      <c r="TF70" s="21"/>
      <c r="TG70" s="21"/>
      <c r="TH70" s="21"/>
      <c r="TI70" s="21"/>
      <c r="TJ70" s="21"/>
      <c r="TK70" s="21"/>
      <c r="TL70" s="21"/>
      <c r="TM70" s="21"/>
      <c r="TN70" s="21"/>
      <c r="TO70" s="21"/>
      <c r="TP70" s="21"/>
      <c r="TQ70" s="21"/>
      <c r="TR70" s="21"/>
      <c r="TS70" s="21"/>
      <c r="TT70" s="21"/>
      <c r="TU70" s="21"/>
      <c r="TV70" s="21"/>
      <c r="TW70" s="21"/>
      <c r="TX70" s="21"/>
      <c r="TY70" s="21"/>
      <c r="TZ70" s="21"/>
      <c r="UA70" s="21"/>
      <c r="UB70" s="21"/>
      <c r="UC70" s="21"/>
      <c r="UD70" s="21"/>
      <c r="UE70" s="21"/>
      <c r="UF70" s="21"/>
      <c r="UG70" s="21"/>
      <c r="UH70" s="21"/>
      <c r="UI70" s="21"/>
      <c r="UJ70" s="21"/>
      <c r="UK70" s="21"/>
      <c r="UL70" s="21"/>
      <c r="UM70" s="21"/>
      <c r="UN70" s="21"/>
      <c r="UO70" s="21"/>
      <c r="UP70" s="21"/>
      <c r="UQ70" s="21"/>
      <c r="UR70" s="21"/>
      <c r="US70" s="21"/>
      <c r="UT70" s="21"/>
      <c r="UU70" s="21"/>
      <c r="UV70" s="21"/>
      <c r="UW70" s="21"/>
      <c r="UX70" s="21"/>
      <c r="UY70" s="21"/>
      <c r="UZ70" s="21"/>
      <c r="VA70" s="21"/>
      <c r="VB70" s="21"/>
      <c r="VC70" s="21"/>
      <c r="VD70" s="21"/>
      <c r="VE70" s="21"/>
      <c r="VF70" s="21"/>
      <c r="VG70" s="21"/>
      <c r="VH70" s="21"/>
      <c r="VI70" s="21"/>
      <c r="VJ70" s="21"/>
      <c r="VK70" s="21"/>
      <c r="VL70" s="21"/>
      <c r="VM70" s="21"/>
      <c r="VN70" s="21"/>
      <c r="VO70" s="21"/>
      <c r="VP70" s="21"/>
      <c r="VQ70" s="21"/>
      <c r="VR70" s="21"/>
      <c r="VS70" s="21"/>
      <c r="VT70" s="21"/>
      <c r="VU70" s="21"/>
      <c r="VV70" s="21"/>
      <c r="VW70" s="21"/>
      <c r="VX70" s="21"/>
      <c r="VY70" s="21"/>
      <c r="VZ70" s="21"/>
      <c r="WA70" s="21"/>
      <c r="WB70" s="21"/>
      <c r="WC70" s="21"/>
      <c r="WD70" s="21"/>
      <c r="WE70" s="21"/>
      <c r="WF70" s="21"/>
      <c r="WG70" s="21"/>
      <c r="WH70" s="21"/>
      <c r="WI70" s="21"/>
      <c r="WJ70" s="21"/>
      <c r="WK70" s="21"/>
      <c r="WL70" s="21"/>
      <c r="WM70" s="21"/>
      <c r="WN70" s="21"/>
      <c r="WO70" s="21"/>
      <c r="WP70" s="21"/>
      <c r="WQ70" s="21"/>
      <c r="WR70" s="21"/>
      <c r="WS70" s="21"/>
      <c r="WT70" s="21"/>
      <c r="WU70" s="21"/>
      <c r="WV70" s="21"/>
      <c r="WW70" s="21"/>
      <c r="WX70" s="21"/>
      <c r="WY70" s="21"/>
      <c r="WZ70" s="21"/>
      <c r="XA70" s="21"/>
      <c r="XB70" s="21"/>
      <c r="XC70" s="21"/>
      <c r="XD70" s="21"/>
      <c r="XE70" s="21"/>
      <c r="XF70" s="21"/>
      <c r="XG70" s="21"/>
      <c r="XH70" s="21"/>
      <c r="XI70" s="21"/>
      <c r="XJ70" s="21"/>
      <c r="XK70" s="21"/>
      <c r="XL70" s="21"/>
      <c r="XM70" s="21"/>
      <c r="XN70" s="21"/>
      <c r="XO70" s="21"/>
      <c r="XP70" s="21"/>
      <c r="XQ70" s="21"/>
      <c r="XR70" s="21"/>
      <c r="XS70" s="21"/>
      <c r="XT70" s="21"/>
      <c r="XU70" s="21"/>
      <c r="XV70" s="21"/>
      <c r="XW70" s="21"/>
      <c r="XX70" s="21"/>
      <c r="XY70" s="21"/>
      <c r="XZ70" s="21"/>
      <c r="YA70" s="21"/>
      <c r="YB70" s="21"/>
      <c r="YC70" s="21"/>
      <c r="YD70" s="21"/>
      <c r="YE70" s="21"/>
      <c r="YF70" s="21"/>
      <c r="YG70" s="21"/>
      <c r="YH70" s="21"/>
      <c r="YI70" s="21"/>
      <c r="YJ70" s="21"/>
      <c r="YK70" s="21"/>
      <c r="YL70" s="21"/>
      <c r="YM70" s="21"/>
      <c r="YN70" s="21"/>
      <c r="YO70" s="21"/>
      <c r="YP70" s="21"/>
      <c r="YQ70" s="21"/>
      <c r="YR70" s="21"/>
      <c r="YS70" s="21"/>
      <c r="YT70" s="21"/>
      <c r="YU70" s="21"/>
      <c r="YV70" s="21"/>
      <c r="YW70" s="21"/>
      <c r="YX70" s="21"/>
      <c r="YY70" s="21"/>
      <c r="YZ70" s="21"/>
      <c r="ZA70" s="21"/>
      <c r="ZB70" s="21"/>
      <c r="ZC70" s="21"/>
      <c r="ZD70" s="21"/>
      <c r="ZE70" s="21"/>
      <c r="ZF70" s="21"/>
      <c r="ZG70" s="21"/>
      <c r="ZH70" s="21"/>
      <c r="ZI70" s="21"/>
      <c r="ZJ70" s="21"/>
      <c r="ZK70" s="21"/>
      <c r="ZL70" s="21"/>
      <c r="ZM70" s="21"/>
      <c r="ZN70" s="21"/>
      <c r="ZO70" s="21"/>
      <c r="ZP70" s="21"/>
      <c r="ZQ70" s="21"/>
      <c r="ZR70" s="21"/>
      <c r="ZS70" s="21"/>
      <c r="ZT70" s="21"/>
      <c r="ZU70" s="21"/>
      <c r="ZV70" s="21"/>
      <c r="ZW70" s="21"/>
      <c r="ZX70" s="21"/>
      <c r="ZY70" s="21"/>
      <c r="ZZ70" s="21"/>
      <c r="AAA70" s="21"/>
      <c r="AAB70" s="21"/>
      <c r="AAC70" s="21"/>
      <c r="AAD70" s="21"/>
      <c r="AAE70" s="21"/>
      <c r="AAF70" s="21"/>
      <c r="AAG70" s="21"/>
      <c r="AAH70" s="21"/>
      <c r="AAI70" s="21"/>
      <c r="AAJ70" s="21"/>
      <c r="AAK70" s="21"/>
      <c r="AAL70" s="21"/>
      <c r="AAM70" s="21"/>
      <c r="AAN70" s="21"/>
      <c r="AAO70" s="21"/>
      <c r="AAP70" s="21"/>
      <c r="AAQ70" s="21"/>
      <c r="AAR70" s="21"/>
      <c r="AAS70" s="21"/>
      <c r="AAT70" s="21"/>
      <c r="AAU70" s="21"/>
      <c r="AAV70" s="21"/>
      <c r="AAW70" s="21"/>
      <c r="AAX70" s="21"/>
      <c r="AAY70" s="21"/>
      <c r="AAZ70" s="21"/>
      <c r="ABA70" s="21"/>
      <c r="ABB70" s="21"/>
      <c r="ABC70" s="21"/>
      <c r="ABD70" s="21"/>
      <c r="ABE70" s="21"/>
      <c r="ABF70" s="21"/>
      <c r="ABG70" s="21"/>
      <c r="ABH70" s="21"/>
      <c r="ABI70" s="21"/>
      <c r="ABJ70" s="21"/>
      <c r="ABK70" s="21"/>
      <c r="ABL70" s="21"/>
      <c r="ABM70" s="21"/>
      <c r="ABN70" s="21"/>
      <c r="ABO70" s="21"/>
      <c r="ABP70" s="21"/>
      <c r="ABQ70" s="21"/>
      <c r="ABR70" s="21"/>
      <c r="ABS70" s="21"/>
      <c r="ABT70" s="21"/>
      <c r="ABU70" s="21"/>
      <c r="ABV70" s="21"/>
      <c r="ABW70" s="21"/>
      <c r="ABX70" s="21"/>
      <c r="ABY70" s="21"/>
      <c r="ABZ70" s="21"/>
      <c r="ACA70" s="21"/>
      <c r="ACB70" s="21"/>
      <c r="ACC70" s="21"/>
      <c r="ACD70" s="21"/>
      <c r="ACE70" s="21"/>
      <c r="ACF70" s="21"/>
      <c r="ACG70" s="21"/>
      <c r="ACH70" s="21"/>
      <c r="ACI70" s="21"/>
      <c r="ACJ70" s="21"/>
      <c r="ACK70" s="21"/>
      <c r="ACL70" s="21"/>
      <c r="ACM70" s="21"/>
      <c r="ACN70" s="21"/>
      <c r="ACO70" s="21"/>
      <c r="ACP70" s="21"/>
      <c r="ACQ70" s="21"/>
      <c r="ACR70" s="21"/>
      <c r="ACS70" s="21"/>
      <c r="ACT70" s="21"/>
      <c r="ACU70" s="21"/>
      <c r="ACV70" s="21"/>
      <c r="ACW70" s="21"/>
      <c r="ACX70" s="21"/>
      <c r="ACY70" s="21"/>
      <c r="ACZ70" s="21"/>
      <c r="ADA70" s="21"/>
      <c r="ADB70" s="21"/>
      <c r="ADC70" s="21"/>
      <c r="ADD70" s="21"/>
      <c r="ADE70" s="21"/>
      <c r="ADF70" s="21"/>
      <c r="ADG70" s="21"/>
      <c r="ADH70" s="21"/>
      <c r="ADI70" s="21"/>
      <c r="ADJ70" s="21"/>
      <c r="ADK70" s="21"/>
      <c r="ADL70" s="21"/>
      <c r="ADM70" s="21"/>
      <c r="ADN70" s="21"/>
      <c r="ADO70" s="21"/>
      <c r="ADP70" s="21"/>
      <c r="ADQ70" s="21"/>
      <c r="ADR70" s="21"/>
      <c r="ADS70" s="21"/>
      <c r="ADT70" s="21"/>
      <c r="ADU70" s="21"/>
      <c r="ADV70" s="21"/>
      <c r="ADW70" s="21"/>
      <c r="ADX70" s="21"/>
      <c r="ADY70" s="21"/>
      <c r="ADZ70" s="21"/>
      <c r="AEA70" s="21"/>
      <c r="AEB70" s="21"/>
      <c r="AEC70" s="21"/>
      <c r="AED70" s="21"/>
      <c r="AEE70" s="21"/>
      <c r="AEF70" s="21"/>
      <c r="AEG70" s="21"/>
    </row>
    <row r="71" spans="1:813" s="93" customFormat="1" ht="60" x14ac:dyDescent="0.25">
      <c r="A71" s="189"/>
      <c r="B71" s="183"/>
      <c r="C71" s="80" t="s">
        <v>364</v>
      </c>
      <c r="D71" s="63" t="s">
        <v>363</v>
      </c>
      <c r="E71" s="36" t="s">
        <v>362</v>
      </c>
      <c r="F71" s="111">
        <v>33.5</v>
      </c>
      <c r="G71" s="32">
        <f>9/2</f>
        <v>4.5</v>
      </c>
      <c r="H71" s="33">
        <f t="shared" si="2"/>
        <v>150</v>
      </c>
      <c r="I71" s="32">
        <f>6/2</f>
        <v>3</v>
      </c>
      <c r="J71" s="33">
        <f t="shared" si="15"/>
        <v>100</v>
      </c>
      <c r="K71" s="32">
        <f>1/2</f>
        <v>0.5</v>
      </c>
      <c r="L71" s="33">
        <f t="shared" si="16"/>
        <v>20</v>
      </c>
      <c r="M71" s="32">
        <f>19/2</f>
        <v>9.5</v>
      </c>
      <c r="N71" s="33">
        <f t="shared" si="17"/>
        <v>320</v>
      </c>
      <c r="O71" s="32">
        <f>3/2</f>
        <v>1.5</v>
      </c>
      <c r="P71" s="33">
        <f t="shared" si="6"/>
        <v>50</v>
      </c>
      <c r="Q71" s="32">
        <f>1/2</f>
        <v>0.5</v>
      </c>
      <c r="R71" s="33">
        <f t="shared" si="7"/>
        <v>20</v>
      </c>
      <c r="S71" s="32">
        <f>1/2</f>
        <v>0.5</v>
      </c>
      <c r="T71" s="33">
        <f>ROUND($F71*S71,-1)</f>
        <v>20</v>
      </c>
      <c r="U71" s="32">
        <f>5/2</f>
        <v>2.5</v>
      </c>
      <c r="V71" s="33">
        <f t="shared" si="18"/>
        <v>80</v>
      </c>
      <c r="W71" s="32">
        <f>1/2</f>
        <v>0.5</v>
      </c>
      <c r="X71" s="33">
        <f t="shared" si="10"/>
        <v>20</v>
      </c>
      <c r="Y71" s="32">
        <f>5/2</f>
        <v>2.5</v>
      </c>
      <c r="Z71" s="33">
        <f t="shared" si="11"/>
        <v>80</v>
      </c>
      <c r="AA71" s="32">
        <f>1/2</f>
        <v>0.5</v>
      </c>
      <c r="AB71" s="33">
        <f t="shared" si="19"/>
        <v>20</v>
      </c>
      <c r="AC71" s="32">
        <f>1/2</f>
        <v>0.5</v>
      </c>
      <c r="AD71" s="33">
        <f t="shared" si="20"/>
        <v>20</v>
      </c>
      <c r="AE71" s="32"/>
      <c r="AF71" s="33">
        <f t="shared" si="14"/>
        <v>900</v>
      </c>
      <c r="AG71" s="33">
        <v>0</v>
      </c>
      <c r="AH71" s="33">
        <v>0</v>
      </c>
      <c r="AI71" s="32">
        <v>0</v>
      </c>
      <c r="AJ71" s="31">
        <v>51128.238507132381</v>
      </c>
      <c r="AK71" s="31">
        <v>4164.740908138353</v>
      </c>
      <c r="AL71" s="31">
        <v>55292.979415270733</v>
      </c>
      <c r="AM71" s="30" t="s">
        <v>18</v>
      </c>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c r="FT71" s="21"/>
      <c r="FU71" s="21"/>
      <c r="FV71" s="21"/>
      <c r="FW71" s="21"/>
      <c r="FX71" s="21"/>
      <c r="FY71" s="21"/>
      <c r="FZ71" s="21"/>
      <c r="GA71" s="21"/>
      <c r="GB71" s="21"/>
      <c r="GC71" s="21"/>
      <c r="GD71" s="21"/>
      <c r="GE71" s="21"/>
      <c r="GF71" s="21"/>
      <c r="GG71" s="21"/>
      <c r="GH71" s="21"/>
      <c r="GI71" s="21"/>
      <c r="GJ71" s="21"/>
      <c r="GK71" s="21"/>
      <c r="GL71" s="21"/>
      <c r="GM71" s="21"/>
      <c r="GN71" s="21"/>
      <c r="GO71" s="21"/>
      <c r="GP71" s="21"/>
      <c r="GQ71" s="21"/>
      <c r="GR71" s="21"/>
      <c r="GS71" s="21"/>
      <c r="GT71" s="21"/>
      <c r="GU71" s="21"/>
      <c r="GV71" s="21"/>
      <c r="GW71" s="21"/>
      <c r="GX71" s="21"/>
      <c r="GY71" s="21"/>
      <c r="GZ71" s="21"/>
      <c r="HA71" s="21"/>
      <c r="HB71" s="21"/>
      <c r="HC71" s="21"/>
      <c r="HD71" s="21"/>
      <c r="HE71" s="21"/>
      <c r="HF71" s="21"/>
      <c r="HG71" s="21"/>
      <c r="HH71" s="21"/>
      <c r="HI71" s="21"/>
      <c r="HJ71" s="21"/>
      <c r="HK71" s="21"/>
      <c r="HL71" s="21"/>
      <c r="HM71" s="21"/>
      <c r="HN71" s="21"/>
      <c r="HO71" s="21"/>
      <c r="HP71" s="21"/>
      <c r="HQ71" s="21"/>
      <c r="HR71" s="21"/>
      <c r="HS71" s="21"/>
      <c r="HT71" s="21"/>
      <c r="HU71" s="21"/>
      <c r="HV71" s="21"/>
      <c r="HW71" s="21"/>
      <c r="HX71" s="21"/>
      <c r="HY71" s="21"/>
      <c r="HZ71" s="21"/>
      <c r="IA71" s="21"/>
      <c r="IB71" s="21"/>
      <c r="IC71" s="21"/>
      <c r="ID71" s="21"/>
      <c r="IE71" s="21"/>
      <c r="IF71" s="21"/>
      <c r="IG71" s="21"/>
      <c r="IH71" s="21"/>
      <c r="II71" s="21"/>
      <c r="IJ71" s="21"/>
      <c r="IK71" s="21"/>
      <c r="IL71" s="21"/>
      <c r="IM71" s="21"/>
      <c r="IN71" s="21"/>
      <c r="IO71" s="21"/>
      <c r="IP71" s="21"/>
      <c r="IQ71" s="21"/>
      <c r="IR71" s="21"/>
      <c r="IS71" s="21"/>
      <c r="IT71" s="21"/>
      <c r="IU71" s="21"/>
      <c r="IV71" s="21"/>
      <c r="IW71" s="21"/>
      <c r="IX71" s="21"/>
      <c r="IY71" s="21"/>
      <c r="IZ71" s="21"/>
      <c r="JA71" s="21"/>
      <c r="JB71" s="21"/>
      <c r="JC71" s="21"/>
      <c r="JD71" s="21"/>
      <c r="JE71" s="21"/>
      <c r="JF71" s="21"/>
      <c r="JG71" s="21"/>
      <c r="JH71" s="21"/>
      <c r="JI71" s="21"/>
      <c r="JJ71" s="21"/>
      <c r="JK71" s="21"/>
      <c r="JL71" s="21"/>
      <c r="JM71" s="21"/>
      <c r="JN71" s="21"/>
      <c r="JO71" s="21"/>
      <c r="JP71" s="21"/>
      <c r="JQ71" s="21"/>
      <c r="JR71" s="21"/>
      <c r="JS71" s="21"/>
      <c r="JT71" s="21"/>
      <c r="JU71" s="21"/>
      <c r="JV71" s="21"/>
      <c r="JW71" s="21"/>
      <c r="JX71" s="21"/>
      <c r="JY71" s="21"/>
      <c r="JZ71" s="21"/>
      <c r="KA71" s="21"/>
      <c r="KB71" s="21"/>
      <c r="KC71" s="21"/>
      <c r="KD71" s="21"/>
      <c r="KE71" s="21"/>
      <c r="KF71" s="21"/>
      <c r="KG71" s="21"/>
      <c r="KH71" s="21"/>
      <c r="KI71" s="21"/>
      <c r="KJ71" s="21"/>
      <c r="KK71" s="21"/>
      <c r="KL71" s="21"/>
      <c r="KM71" s="21"/>
      <c r="KN71" s="21"/>
      <c r="KO71" s="21"/>
      <c r="KP71" s="21"/>
      <c r="KQ71" s="21"/>
      <c r="KR71" s="21"/>
      <c r="KS71" s="21"/>
      <c r="KT71" s="21"/>
      <c r="KU71" s="21"/>
      <c r="KV71" s="21"/>
      <c r="KW71" s="21"/>
      <c r="KX71" s="21"/>
      <c r="KY71" s="21"/>
      <c r="KZ71" s="21"/>
      <c r="LA71" s="21"/>
      <c r="LB71" s="21"/>
      <c r="LC71" s="21"/>
      <c r="LD71" s="21"/>
      <c r="LE71" s="21"/>
      <c r="LF71" s="21"/>
      <c r="LG71" s="21"/>
      <c r="LH71" s="21"/>
      <c r="LI71" s="21"/>
      <c r="LJ71" s="21"/>
      <c r="LK71" s="21"/>
      <c r="LL71" s="21"/>
      <c r="LM71" s="21"/>
      <c r="LN71" s="21"/>
      <c r="LO71" s="21"/>
      <c r="LP71" s="21"/>
      <c r="LQ71" s="21"/>
      <c r="LR71" s="21"/>
      <c r="LS71" s="21"/>
      <c r="LT71" s="21"/>
      <c r="LU71" s="21"/>
      <c r="LV71" s="21"/>
      <c r="LW71" s="21"/>
      <c r="LX71" s="21"/>
      <c r="LY71" s="21"/>
      <c r="LZ71" s="21"/>
      <c r="MA71" s="21"/>
      <c r="MB71" s="21"/>
      <c r="MC71" s="21"/>
      <c r="MD71" s="21"/>
      <c r="ME71" s="21"/>
      <c r="MF71" s="21"/>
      <c r="MG71" s="21"/>
      <c r="MH71" s="21"/>
      <c r="MI71" s="21"/>
      <c r="MJ71" s="21"/>
      <c r="MK71" s="21"/>
      <c r="ML71" s="21"/>
      <c r="MM71" s="21"/>
      <c r="MN71" s="21"/>
      <c r="MO71" s="21"/>
      <c r="MP71" s="21"/>
      <c r="MQ71" s="21"/>
      <c r="MR71" s="21"/>
      <c r="MS71" s="21"/>
      <c r="MT71" s="21"/>
      <c r="MU71" s="21"/>
      <c r="MV71" s="21"/>
      <c r="MW71" s="21"/>
      <c r="MX71" s="21"/>
      <c r="MY71" s="21"/>
      <c r="MZ71" s="21"/>
      <c r="NA71" s="21"/>
      <c r="NB71" s="21"/>
      <c r="NC71" s="21"/>
      <c r="ND71" s="21"/>
      <c r="NE71" s="21"/>
      <c r="NF71" s="21"/>
      <c r="NG71" s="21"/>
      <c r="NH71" s="21"/>
      <c r="NI71" s="21"/>
      <c r="NJ71" s="21"/>
      <c r="NK71" s="21"/>
      <c r="NL71" s="21"/>
      <c r="NM71" s="21"/>
      <c r="NN71" s="21"/>
      <c r="NO71" s="21"/>
      <c r="NP71" s="21"/>
      <c r="NQ71" s="21"/>
      <c r="NR71" s="21"/>
      <c r="NS71" s="21"/>
      <c r="NT71" s="21"/>
      <c r="NU71" s="21"/>
      <c r="NV71" s="21"/>
      <c r="NW71" s="21"/>
      <c r="NX71" s="21"/>
      <c r="NY71" s="21"/>
      <c r="NZ71" s="21"/>
      <c r="OA71" s="21"/>
      <c r="OB71" s="21"/>
      <c r="OC71" s="21"/>
      <c r="OD71" s="21"/>
      <c r="OE71" s="21"/>
      <c r="OF71" s="21"/>
      <c r="OG71" s="21"/>
      <c r="OH71" s="21"/>
      <c r="OI71" s="21"/>
      <c r="OJ71" s="21"/>
      <c r="OK71" s="21"/>
      <c r="OL71" s="21"/>
      <c r="OM71" s="21"/>
      <c r="ON71" s="21"/>
      <c r="OO71" s="21"/>
      <c r="OP71" s="21"/>
      <c r="OQ71" s="21"/>
      <c r="OR71" s="21"/>
      <c r="OS71" s="21"/>
      <c r="OT71" s="21"/>
      <c r="OU71" s="21"/>
      <c r="OV71" s="21"/>
      <c r="OW71" s="21"/>
      <c r="OX71" s="21"/>
      <c r="OY71" s="21"/>
      <c r="OZ71" s="21"/>
      <c r="PA71" s="21"/>
      <c r="PB71" s="21"/>
      <c r="PC71" s="21"/>
      <c r="PD71" s="21"/>
      <c r="PE71" s="21"/>
      <c r="PF71" s="21"/>
      <c r="PG71" s="21"/>
      <c r="PH71" s="21"/>
      <c r="PI71" s="21"/>
      <c r="PJ71" s="21"/>
      <c r="PK71" s="21"/>
      <c r="PL71" s="21"/>
      <c r="PM71" s="21"/>
      <c r="PN71" s="21"/>
      <c r="PO71" s="21"/>
      <c r="PP71" s="21"/>
      <c r="PQ71" s="21"/>
      <c r="PR71" s="21"/>
      <c r="PS71" s="21"/>
      <c r="PT71" s="21"/>
      <c r="PU71" s="21"/>
      <c r="PV71" s="21"/>
      <c r="PW71" s="21"/>
      <c r="PX71" s="21"/>
      <c r="PY71" s="21"/>
      <c r="PZ71" s="21"/>
      <c r="QA71" s="21"/>
      <c r="QB71" s="21"/>
      <c r="QC71" s="21"/>
      <c r="QD71" s="21"/>
      <c r="QE71" s="21"/>
      <c r="QF71" s="21"/>
      <c r="QG71" s="21"/>
      <c r="QH71" s="21"/>
      <c r="QI71" s="21"/>
      <c r="QJ71" s="21"/>
      <c r="QK71" s="21"/>
      <c r="QL71" s="21"/>
      <c r="QM71" s="21"/>
      <c r="QN71" s="21"/>
      <c r="QO71" s="21"/>
      <c r="QP71" s="21"/>
      <c r="QQ71" s="21"/>
      <c r="QR71" s="21"/>
      <c r="QS71" s="21"/>
      <c r="QT71" s="21"/>
      <c r="QU71" s="21"/>
      <c r="QV71" s="21"/>
      <c r="QW71" s="21"/>
      <c r="QX71" s="21"/>
      <c r="QY71" s="21"/>
      <c r="QZ71" s="21"/>
      <c r="RA71" s="21"/>
      <c r="RB71" s="21"/>
      <c r="RC71" s="21"/>
      <c r="RD71" s="21"/>
      <c r="RE71" s="21"/>
      <c r="RF71" s="21"/>
      <c r="RG71" s="21"/>
      <c r="RH71" s="21"/>
      <c r="RI71" s="21"/>
      <c r="RJ71" s="21"/>
      <c r="RK71" s="21"/>
      <c r="RL71" s="21"/>
      <c r="RM71" s="21"/>
      <c r="RN71" s="21"/>
      <c r="RO71" s="21"/>
      <c r="RP71" s="21"/>
      <c r="RQ71" s="21"/>
      <c r="RR71" s="21"/>
      <c r="RS71" s="21"/>
      <c r="RT71" s="21"/>
      <c r="RU71" s="21"/>
      <c r="RV71" s="21"/>
      <c r="RW71" s="21"/>
      <c r="RX71" s="21"/>
      <c r="RY71" s="21"/>
      <c r="RZ71" s="21"/>
      <c r="SA71" s="21"/>
      <c r="SB71" s="21"/>
      <c r="SC71" s="21"/>
      <c r="SD71" s="21"/>
      <c r="SE71" s="21"/>
      <c r="SF71" s="21"/>
      <c r="SG71" s="21"/>
      <c r="SH71" s="21"/>
      <c r="SI71" s="21"/>
      <c r="SJ71" s="21"/>
      <c r="SK71" s="21"/>
      <c r="SL71" s="21"/>
      <c r="SM71" s="21"/>
      <c r="SN71" s="21"/>
      <c r="SO71" s="21"/>
      <c r="SP71" s="21"/>
      <c r="SQ71" s="21"/>
      <c r="SR71" s="21"/>
      <c r="SS71" s="21"/>
      <c r="ST71" s="21"/>
      <c r="SU71" s="21"/>
      <c r="SV71" s="21"/>
      <c r="SW71" s="21"/>
      <c r="SX71" s="21"/>
      <c r="SY71" s="21"/>
      <c r="SZ71" s="21"/>
      <c r="TA71" s="21"/>
      <c r="TB71" s="21"/>
      <c r="TC71" s="21"/>
      <c r="TD71" s="21"/>
      <c r="TE71" s="21"/>
      <c r="TF71" s="21"/>
      <c r="TG71" s="21"/>
      <c r="TH71" s="21"/>
      <c r="TI71" s="21"/>
      <c r="TJ71" s="21"/>
      <c r="TK71" s="21"/>
      <c r="TL71" s="21"/>
      <c r="TM71" s="21"/>
      <c r="TN71" s="21"/>
      <c r="TO71" s="21"/>
      <c r="TP71" s="21"/>
      <c r="TQ71" s="21"/>
      <c r="TR71" s="21"/>
      <c r="TS71" s="21"/>
      <c r="TT71" s="21"/>
      <c r="TU71" s="21"/>
      <c r="TV71" s="21"/>
      <c r="TW71" s="21"/>
      <c r="TX71" s="21"/>
      <c r="TY71" s="21"/>
      <c r="TZ71" s="21"/>
      <c r="UA71" s="21"/>
      <c r="UB71" s="21"/>
      <c r="UC71" s="21"/>
      <c r="UD71" s="21"/>
      <c r="UE71" s="21"/>
      <c r="UF71" s="21"/>
      <c r="UG71" s="21"/>
      <c r="UH71" s="21"/>
      <c r="UI71" s="21"/>
      <c r="UJ71" s="21"/>
      <c r="UK71" s="21"/>
      <c r="UL71" s="21"/>
      <c r="UM71" s="21"/>
      <c r="UN71" s="21"/>
      <c r="UO71" s="21"/>
      <c r="UP71" s="21"/>
      <c r="UQ71" s="21"/>
      <c r="UR71" s="21"/>
      <c r="US71" s="21"/>
      <c r="UT71" s="21"/>
      <c r="UU71" s="21"/>
      <c r="UV71" s="21"/>
      <c r="UW71" s="21"/>
      <c r="UX71" s="21"/>
      <c r="UY71" s="21"/>
      <c r="UZ71" s="21"/>
      <c r="VA71" s="21"/>
      <c r="VB71" s="21"/>
      <c r="VC71" s="21"/>
      <c r="VD71" s="21"/>
      <c r="VE71" s="21"/>
      <c r="VF71" s="21"/>
      <c r="VG71" s="21"/>
      <c r="VH71" s="21"/>
      <c r="VI71" s="21"/>
      <c r="VJ71" s="21"/>
      <c r="VK71" s="21"/>
      <c r="VL71" s="21"/>
      <c r="VM71" s="21"/>
      <c r="VN71" s="21"/>
      <c r="VO71" s="21"/>
      <c r="VP71" s="21"/>
      <c r="VQ71" s="21"/>
      <c r="VR71" s="21"/>
      <c r="VS71" s="21"/>
      <c r="VT71" s="21"/>
      <c r="VU71" s="21"/>
      <c r="VV71" s="21"/>
      <c r="VW71" s="21"/>
      <c r="VX71" s="21"/>
      <c r="VY71" s="21"/>
      <c r="VZ71" s="21"/>
      <c r="WA71" s="21"/>
      <c r="WB71" s="21"/>
      <c r="WC71" s="21"/>
      <c r="WD71" s="21"/>
      <c r="WE71" s="21"/>
      <c r="WF71" s="21"/>
      <c r="WG71" s="21"/>
      <c r="WH71" s="21"/>
      <c r="WI71" s="21"/>
      <c r="WJ71" s="21"/>
      <c r="WK71" s="21"/>
      <c r="WL71" s="21"/>
      <c r="WM71" s="21"/>
      <c r="WN71" s="21"/>
      <c r="WO71" s="21"/>
      <c r="WP71" s="21"/>
      <c r="WQ71" s="21"/>
      <c r="WR71" s="21"/>
      <c r="WS71" s="21"/>
      <c r="WT71" s="21"/>
      <c r="WU71" s="21"/>
      <c r="WV71" s="21"/>
      <c r="WW71" s="21"/>
      <c r="WX71" s="21"/>
      <c r="WY71" s="21"/>
      <c r="WZ71" s="21"/>
      <c r="XA71" s="21"/>
      <c r="XB71" s="21"/>
      <c r="XC71" s="21"/>
      <c r="XD71" s="21"/>
      <c r="XE71" s="21"/>
      <c r="XF71" s="21"/>
      <c r="XG71" s="21"/>
      <c r="XH71" s="21"/>
      <c r="XI71" s="21"/>
      <c r="XJ71" s="21"/>
      <c r="XK71" s="21"/>
      <c r="XL71" s="21"/>
      <c r="XM71" s="21"/>
      <c r="XN71" s="21"/>
      <c r="XO71" s="21"/>
      <c r="XP71" s="21"/>
      <c r="XQ71" s="21"/>
      <c r="XR71" s="21"/>
      <c r="XS71" s="21"/>
      <c r="XT71" s="21"/>
      <c r="XU71" s="21"/>
      <c r="XV71" s="21"/>
      <c r="XW71" s="21"/>
      <c r="XX71" s="21"/>
      <c r="XY71" s="21"/>
      <c r="XZ71" s="21"/>
      <c r="YA71" s="21"/>
      <c r="YB71" s="21"/>
      <c r="YC71" s="21"/>
      <c r="YD71" s="21"/>
      <c r="YE71" s="21"/>
      <c r="YF71" s="21"/>
      <c r="YG71" s="21"/>
      <c r="YH71" s="21"/>
      <c r="YI71" s="21"/>
      <c r="YJ71" s="21"/>
      <c r="YK71" s="21"/>
      <c r="YL71" s="21"/>
      <c r="YM71" s="21"/>
      <c r="YN71" s="21"/>
      <c r="YO71" s="21"/>
      <c r="YP71" s="21"/>
      <c r="YQ71" s="21"/>
      <c r="YR71" s="21"/>
      <c r="YS71" s="21"/>
      <c r="YT71" s="21"/>
      <c r="YU71" s="21"/>
      <c r="YV71" s="21"/>
      <c r="YW71" s="21"/>
      <c r="YX71" s="21"/>
      <c r="YY71" s="21"/>
      <c r="YZ71" s="21"/>
      <c r="ZA71" s="21"/>
      <c r="ZB71" s="21"/>
      <c r="ZC71" s="21"/>
      <c r="ZD71" s="21"/>
      <c r="ZE71" s="21"/>
      <c r="ZF71" s="21"/>
      <c r="ZG71" s="21"/>
      <c r="ZH71" s="21"/>
      <c r="ZI71" s="21"/>
      <c r="ZJ71" s="21"/>
      <c r="ZK71" s="21"/>
      <c r="ZL71" s="21"/>
      <c r="ZM71" s="21"/>
      <c r="ZN71" s="21"/>
      <c r="ZO71" s="21"/>
      <c r="ZP71" s="21"/>
      <c r="ZQ71" s="21"/>
      <c r="ZR71" s="21"/>
      <c r="ZS71" s="21"/>
      <c r="ZT71" s="21"/>
      <c r="ZU71" s="21"/>
      <c r="ZV71" s="21"/>
      <c r="ZW71" s="21"/>
      <c r="ZX71" s="21"/>
      <c r="ZY71" s="21"/>
      <c r="ZZ71" s="21"/>
      <c r="AAA71" s="21"/>
      <c r="AAB71" s="21"/>
      <c r="AAC71" s="21"/>
      <c r="AAD71" s="21"/>
      <c r="AAE71" s="21"/>
      <c r="AAF71" s="21"/>
      <c r="AAG71" s="21"/>
      <c r="AAH71" s="21"/>
      <c r="AAI71" s="21"/>
      <c r="AAJ71" s="21"/>
      <c r="AAK71" s="21"/>
      <c r="AAL71" s="21"/>
      <c r="AAM71" s="21"/>
      <c r="AAN71" s="21"/>
      <c r="AAO71" s="21"/>
      <c r="AAP71" s="21"/>
      <c r="AAQ71" s="21"/>
      <c r="AAR71" s="21"/>
      <c r="AAS71" s="21"/>
      <c r="AAT71" s="21"/>
      <c r="AAU71" s="21"/>
      <c r="AAV71" s="21"/>
      <c r="AAW71" s="21"/>
      <c r="AAX71" s="21"/>
      <c r="AAY71" s="21"/>
      <c r="AAZ71" s="21"/>
      <c r="ABA71" s="21"/>
      <c r="ABB71" s="21"/>
      <c r="ABC71" s="21"/>
      <c r="ABD71" s="21"/>
      <c r="ABE71" s="21"/>
      <c r="ABF71" s="21"/>
      <c r="ABG71" s="21"/>
      <c r="ABH71" s="21"/>
      <c r="ABI71" s="21"/>
      <c r="ABJ71" s="21"/>
      <c r="ABK71" s="21"/>
      <c r="ABL71" s="21"/>
      <c r="ABM71" s="21"/>
      <c r="ABN71" s="21"/>
      <c r="ABO71" s="21"/>
      <c r="ABP71" s="21"/>
      <c r="ABQ71" s="21"/>
      <c r="ABR71" s="21"/>
      <c r="ABS71" s="21"/>
      <c r="ABT71" s="21"/>
      <c r="ABU71" s="21"/>
      <c r="ABV71" s="21"/>
      <c r="ABW71" s="21"/>
      <c r="ABX71" s="21"/>
      <c r="ABY71" s="21"/>
      <c r="ABZ71" s="21"/>
      <c r="ACA71" s="21"/>
      <c r="ACB71" s="21"/>
      <c r="ACC71" s="21"/>
      <c r="ACD71" s="21"/>
      <c r="ACE71" s="21"/>
      <c r="ACF71" s="21"/>
      <c r="ACG71" s="21"/>
      <c r="ACH71" s="21"/>
      <c r="ACI71" s="21"/>
      <c r="ACJ71" s="21"/>
      <c r="ACK71" s="21"/>
      <c r="ACL71" s="21"/>
      <c r="ACM71" s="21"/>
      <c r="ACN71" s="21"/>
      <c r="ACO71" s="21"/>
      <c r="ACP71" s="21"/>
      <c r="ACQ71" s="21"/>
      <c r="ACR71" s="21"/>
      <c r="ACS71" s="21"/>
      <c r="ACT71" s="21"/>
      <c r="ACU71" s="21"/>
      <c r="ACV71" s="21"/>
      <c r="ACW71" s="21"/>
      <c r="ACX71" s="21"/>
      <c r="ACY71" s="21"/>
      <c r="ACZ71" s="21"/>
      <c r="ADA71" s="21"/>
      <c r="ADB71" s="21"/>
      <c r="ADC71" s="21"/>
      <c r="ADD71" s="21"/>
      <c r="ADE71" s="21"/>
      <c r="ADF71" s="21"/>
      <c r="ADG71" s="21"/>
      <c r="ADH71" s="21"/>
      <c r="ADI71" s="21"/>
      <c r="ADJ71" s="21"/>
      <c r="ADK71" s="21"/>
      <c r="ADL71" s="21"/>
      <c r="ADM71" s="21"/>
      <c r="ADN71" s="21"/>
      <c r="ADO71" s="21"/>
      <c r="ADP71" s="21"/>
      <c r="ADQ71" s="21"/>
      <c r="ADR71" s="21"/>
      <c r="ADS71" s="21"/>
      <c r="ADT71" s="21"/>
      <c r="ADU71" s="21"/>
      <c r="ADV71" s="21"/>
      <c r="ADW71" s="21"/>
      <c r="ADX71" s="21"/>
      <c r="ADY71" s="21"/>
      <c r="ADZ71" s="21"/>
      <c r="AEA71" s="21"/>
      <c r="AEB71" s="21"/>
      <c r="AEC71" s="21"/>
      <c r="AED71" s="21"/>
      <c r="AEE71" s="21"/>
      <c r="AEF71" s="21"/>
      <c r="AEG71" s="21"/>
    </row>
    <row r="72" spans="1:813" s="93" customFormat="1" ht="45" x14ac:dyDescent="0.25">
      <c r="A72" s="189"/>
      <c r="B72" s="183"/>
      <c r="C72" s="80" t="s">
        <v>361</v>
      </c>
      <c r="D72" s="63" t="s">
        <v>360</v>
      </c>
      <c r="E72" s="36" t="s">
        <v>359</v>
      </c>
      <c r="F72" s="111">
        <v>34.5</v>
      </c>
      <c r="G72" s="32">
        <v>0</v>
      </c>
      <c r="H72" s="33">
        <f t="shared" si="2"/>
        <v>0</v>
      </c>
      <c r="I72" s="32">
        <v>0</v>
      </c>
      <c r="J72" s="33">
        <f t="shared" si="15"/>
        <v>0</v>
      </c>
      <c r="K72" s="32">
        <v>0</v>
      </c>
      <c r="L72" s="33">
        <f t="shared" si="16"/>
        <v>0</v>
      </c>
      <c r="M72" s="32">
        <f>3/2</f>
        <v>1.5</v>
      </c>
      <c r="N72" s="33">
        <f t="shared" si="17"/>
        <v>50</v>
      </c>
      <c r="O72" s="32">
        <f>1/2</f>
        <v>0.5</v>
      </c>
      <c r="P72" s="33">
        <f t="shared" si="6"/>
        <v>20</v>
      </c>
      <c r="Q72" s="32">
        <f>2/2</f>
        <v>1</v>
      </c>
      <c r="R72" s="33">
        <f t="shared" si="7"/>
        <v>30</v>
      </c>
      <c r="S72" s="32">
        <f>2/2</f>
        <v>1</v>
      </c>
      <c r="T72" s="33">
        <f>ROUND($F72*S72,-1)</f>
        <v>30</v>
      </c>
      <c r="U72" s="32">
        <f>15/2</f>
        <v>7.5</v>
      </c>
      <c r="V72" s="33">
        <f t="shared" si="18"/>
        <v>260</v>
      </c>
      <c r="W72" s="32">
        <v>0</v>
      </c>
      <c r="X72" s="33">
        <f t="shared" si="10"/>
        <v>0</v>
      </c>
      <c r="Y72" s="32">
        <f>2/3</f>
        <v>0.66666666666666663</v>
      </c>
      <c r="Z72" s="33">
        <v>30</v>
      </c>
      <c r="AA72" s="32">
        <f>3/2</f>
        <v>1.5</v>
      </c>
      <c r="AB72" s="33">
        <f t="shared" si="19"/>
        <v>50</v>
      </c>
      <c r="AC72" s="32">
        <f>4/2</f>
        <v>2</v>
      </c>
      <c r="AD72" s="33">
        <f t="shared" si="20"/>
        <v>70</v>
      </c>
      <c r="AE72" s="32"/>
      <c r="AF72" s="33">
        <f t="shared" si="14"/>
        <v>540</v>
      </c>
      <c r="AG72" s="33">
        <v>0</v>
      </c>
      <c r="AH72" s="33">
        <v>0</v>
      </c>
      <c r="AI72" s="32">
        <v>0</v>
      </c>
      <c r="AJ72" s="31">
        <v>30790.30718971388</v>
      </c>
      <c r="AK72" s="31">
        <v>2508.0788165479098</v>
      </c>
      <c r="AL72" s="31">
        <v>33298.38600626179</v>
      </c>
      <c r="AM72" s="30" t="s">
        <v>18</v>
      </c>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c r="GQ72" s="21"/>
      <c r="GR72" s="21"/>
      <c r="GS72" s="21"/>
      <c r="GT72" s="21"/>
      <c r="GU72" s="21"/>
      <c r="GV72" s="21"/>
      <c r="GW72" s="21"/>
      <c r="GX72" s="21"/>
      <c r="GY72" s="21"/>
      <c r="GZ72" s="21"/>
      <c r="HA72" s="21"/>
      <c r="HB72" s="21"/>
      <c r="HC72" s="21"/>
      <c r="HD72" s="21"/>
      <c r="HE72" s="21"/>
      <c r="HF72" s="21"/>
      <c r="HG72" s="21"/>
      <c r="HH72" s="21"/>
      <c r="HI72" s="21"/>
      <c r="HJ72" s="21"/>
      <c r="HK72" s="21"/>
      <c r="HL72" s="21"/>
      <c r="HM72" s="21"/>
      <c r="HN72" s="21"/>
      <c r="HO72" s="21"/>
      <c r="HP72" s="21"/>
      <c r="HQ72" s="21"/>
      <c r="HR72" s="21"/>
      <c r="HS72" s="21"/>
      <c r="HT72" s="21"/>
      <c r="HU72" s="21"/>
      <c r="HV72" s="21"/>
      <c r="HW72" s="21"/>
      <c r="HX72" s="21"/>
      <c r="HY72" s="21"/>
      <c r="HZ72" s="21"/>
      <c r="IA72" s="21"/>
      <c r="IB72" s="21"/>
      <c r="IC72" s="21"/>
      <c r="ID72" s="21"/>
      <c r="IE72" s="21"/>
      <c r="IF72" s="21"/>
      <c r="IG72" s="21"/>
      <c r="IH72" s="21"/>
      <c r="II72" s="21"/>
      <c r="IJ72" s="21"/>
      <c r="IK72" s="21"/>
      <c r="IL72" s="21"/>
      <c r="IM72" s="21"/>
      <c r="IN72" s="21"/>
      <c r="IO72" s="21"/>
      <c r="IP72" s="21"/>
      <c r="IQ72" s="21"/>
      <c r="IR72" s="21"/>
      <c r="IS72" s="21"/>
      <c r="IT72" s="21"/>
      <c r="IU72" s="21"/>
      <c r="IV72" s="21"/>
      <c r="IW72" s="21"/>
      <c r="IX72" s="21"/>
      <c r="IY72" s="21"/>
      <c r="IZ72" s="21"/>
      <c r="JA72" s="21"/>
      <c r="JB72" s="21"/>
      <c r="JC72" s="21"/>
      <c r="JD72" s="21"/>
      <c r="JE72" s="21"/>
      <c r="JF72" s="21"/>
      <c r="JG72" s="21"/>
      <c r="JH72" s="21"/>
      <c r="JI72" s="21"/>
      <c r="JJ72" s="21"/>
      <c r="JK72" s="21"/>
      <c r="JL72" s="21"/>
      <c r="JM72" s="21"/>
      <c r="JN72" s="21"/>
      <c r="JO72" s="21"/>
      <c r="JP72" s="21"/>
      <c r="JQ72" s="21"/>
      <c r="JR72" s="21"/>
      <c r="JS72" s="21"/>
      <c r="JT72" s="21"/>
      <c r="JU72" s="21"/>
      <c r="JV72" s="21"/>
      <c r="JW72" s="21"/>
      <c r="JX72" s="21"/>
      <c r="JY72" s="21"/>
      <c r="JZ72" s="21"/>
      <c r="KA72" s="21"/>
      <c r="KB72" s="21"/>
      <c r="KC72" s="21"/>
      <c r="KD72" s="21"/>
      <c r="KE72" s="21"/>
      <c r="KF72" s="21"/>
      <c r="KG72" s="21"/>
      <c r="KH72" s="21"/>
      <c r="KI72" s="21"/>
      <c r="KJ72" s="21"/>
      <c r="KK72" s="21"/>
      <c r="KL72" s="21"/>
      <c r="KM72" s="21"/>
      <c r="KN72" s="21"/>
      <c r="KO72" s="21"/>
      <c r="KP72" s="21"/>
      <c r="KQ72" s="21"/>
      <c r="KR72" s="21"/>
      <c r="KS72" s="21"/>
      <c r="KT72" s="21"/>
      <c r="KU72" s="21"/>
      <c r="KV72" s="21"/>
      <c r="KW72" s="21"/>
      <c r="KX72" s="21"/>
      <c r="KY72" s="21"/>
      <c r="KZ72" s="21"/>
      <c r="LA72" s="21"/>
      <c r="LB72" s="21"/>
      <c r="LC72" s="21"/>
      <c r="LD72" s="21"/>
      <c r="LE72" s="21"/>
      <c r="LF72" s="21"/>
      <c r="LG72" s="21"/>
      <c r="LH72" s="21"/>
      <c r="LI72" s="21"/>
      <c r="LJ72" s="21"/>
      <c r="LK72" s="21"/>
      <c r="LL72" s="21"/>
      <c r="LM72" s="21"/>
      <c r="LN72" s="21"/>
      <c r="LO72" s="21"/>
      <c r="LP72" s="21"/>
      <c r="LQ72" s="21"/>
      <c r="LR72" s="21"/>
      <c r="LS72" s="21"/>
      <c r="LT72" s="21"/>
      <c r="LU72" s="21"/>
      <c r="LV72" s="21"/>
      <c r="LW72" s="21"/>
      <c r="LX72" s="21"/>
      <c r="LY72" s="21"/>
      <c r="LZ72" s="21"/>
      <c r="MA72" s="21"/>
      <c r="MB72" s="21"/>
      <c r="MC72" s="21"/>
      <c r="MD72" s="21"/>
      <c r="ME72" s="21"/>
      <c r="MF72" s="21"/>
      <c r="MG72" s="21"/>
      <c r="MH72" s="21"/>
      <c r="MI72" s="21"/>
      <c r="MJ72" s="21"/>
      <c r="MK72" s="21"/>
      <c r="ML72" s="21"/>
      <c r="MM72" s="21"/>
      <c r="MN72" s="21"/>
      <c r="MO72" s="21"/>
      <c r="MP72" s="21"/>
      <c r="MQ72" s="21"/>
      <c r="MR72" s="21"/>
      <c r="MS72" s="21"/>
      <c r="MT72" s="21"/>
      <c r="MU72" s="21"/>
      <c r="MV72" s="21"/>
      <c r="MW72" s="21"/>
      <c r="MX72" s="21"/>
      <c r="MY72" s="21"/>
      <c r="MZ72" s="21"/>
      <c r="NA72" s="21"/>
      <c r="NB72" s="21"/>
      <c r="NC72" s="21"/>
      <c r="ND72" s="21"/>
      <c r="NE72" s="21"/>
      <c r="NF72" s="21"/>
      <c r="NG72" s="21"/>
      <c r="NH72" s="21"/>
      <c r="NI72" s="21"/>
      <c r="NJ72" s="21"/>
      <c r="NK72" s="21"/>
      <c r="NL72" s="21"/>
      <c r="NM72" s="21"/>
      <c r="NN72" s="21"/>
      <c r="NO72" s="21"/>
      <c r="NP72" s="21"/>
      <c r="NQ72" s="21"/>
      <c r="NR72" s="21"/>
      <c r="NS72" s="21"/>
      <c r="NT72" s="21"/>
      <c r="NU72" s="21"/>
      <c r="NV72" s="21"/>
      <c r="NW72" s="21"/>
      <c r="NX72" s="21"/>
      <c r="NY72" s="21"/>
      <c r="NZ72" s="21"/>
      <c r="OA72" s="21"/>
      <c r="OB72" s="21"/>
      <c r="OC72" s="21"/>
      <c r="OD72" s="21"/>
      <c r="OE72" s="21"/>
      <c r="OF72" s="21"/>
      <c r="OG72" s="21"/>
      <c r="OH72" s="21"/>
      <c r="OI72" s="21"/>
      <c r="OJ72" s="21"/>
      <c r="OK72" s="21"/>
      <c r="OL72" s="21"/>
      <c r="OM72" s="21"/>
      <c r="ON72" s="21"/>
      <c r="OO72" s="21"/>
      <c r="OP72" s="21"/>
      <c r="OQ72" s="21"/>
      <c r="OR72" s="21"/>
      <c r="OS72" s="21"/>
      <c r="OT72" s="21"/>
      <c r="OU72" s="21"/>
      <c r="OV72" s="21"/>
      <c r="OW72" s="21"/>
      <c r="OX72" s="21"/>
      <c r="OY72" s="21"/>
      <c r="OZ72" s="21"/>
      <c r="PA72" s="21"/>
      <c r="PB72" s="21"/>
      <c r="PC72" s="21"/>
      <c r="PD72" s="21"/>
      <c r="PE72" s="21"/>
      <c r="PF72" s="21"/>
      <c r="PG72" s="21"/>
      <c r="PH72" s="21"/>
      <c r="PI72" s="21"/>
      <c r="PJ72" s="21"/>
      <c r="PK72" s="21"/>
      <c r="PL72" s="21"/>
      <c r="PM72" s="21"/>
      <c r="PN72" s="21"/>
      <c r="PO72" s="21"/>
      <c r="PP72" s="21"/>
      <c r="PQ72" s="21"/>
      <c r="PR72" s="21"/>
      <c r="PS72" s="21"/>
      <c r="PT72" s="21"/>
      <c r="PU72" s="21"/>
      <c r="PV72" s="21"/>
      <c r="PW72" s="21"/>
      <c r="PX72" s="21"/>
      <c r="PY72" s="21"/>
      <c r="PZ72" s="21"/>
      <c r="QA72" s="21"/>
      <c r="QB72" s="21"/>
      <c r="QC72" s="21"/>
      <c r="QD72" s="21"/>
      <c r="QE72" s="21"/>
      <c r="QF72" s="21"/>
      <c r="QG72" s="21"/>
      <c r="QH72" s="21"/>
      <c r="QI72" s="21"/>
      <c r="QJ72" s="21"/>
      <c r="QK72" s="21"/>
      <c r="QL72" s="21"/>
      <c r="QM72" s="21"/>
      <c r="QN72" s="21"/>
      <c r="QO72" s="21"/>
      <c r="QP72" s="21"/>
      <c r="QQ72" s="21"/>
      <c r="QR72" s="21"/>
      <c r="QS72" s="21"/>
      <c r="QT72" s="21"/>
      <c r="QU72" s="21"/>
      <c r="QV72" s="21"/>
      <c r="QW72" s="21"/>
      <c r="QX72" s="21"/>
      <c r="QY72" s="21"/>
      <c r="QZ72" s="21"/>
      <c r="RA72" s="21"/>
      <c r="RB72" s="21"/>
      <c r="RC72" s="21"/>
      <c r="RD72" s="21"/>
      <c r="RE72" s="21"/>
      <c r="RF72" s="21"/>
      <c r="RG72" s="21"/>
      <c r="RH72" s="21"/>
      <c r="RI72" s="21"/>
      <c r="RJ72" s="21"/>
      <c r="RK72" s="21"/>
      <c r="RL72" s="21"/>
      <c r="RM72" s="21"/>
      <c r="RN72" s="21"/>
      <c r="RO72" s="21"/>
      <c r="RP72" s="21"/>
      <c r="RQ72" s="21"/>
      <c r="RR72" s="21"/>
      <c r="RS72" s="21"/>
      <c r="RT72" s="21"/>
      <c r="RU72" s="21"/>
      <c r="RV72" s="21"/>
      <c r="RW72" s="21"/>
      <c r="RX72" s="21"/>
      <c r="RY72" s="21"/>
      <c r="RZ72" s="21"/>
      <c r="SA72" s="21"/>
      <c r="SB72" s="21"/>
      <c r="SC72" s="21"/>
      <c r="SD72" s="21"/>
      <c r="SE72" s="21"/>
      <c r="SF72" s="21"/>
      <c r="SG72" s="21"/>
      <c r="SH72" s="21"/>
      <c r="SI72" s="21"/>
      <c r="SJ72" s="21"/>
      <c r="SK72" s="21"/>
      <c r="SL72" s="21"/>
      <c r="SM72" s="21"/>
      <c r="SN72" s="21"/>
      <c r="SO72" s="21"/>
      <c r="SP72" s="21"/>
      <c r="SQ72" s="21"/>
      <c r="SR72" s="21"/>
      <c r="SS72" s="21"/>
      <c r="ST72" s="21"/>
      <c r="SU72" s="21"/>
      <c r="SV72" s="21"/>
      <c r="SW72" s="21"/>
      <c r="SX72" s="21"/>
      <c r="SY72" s="21"/>
      <c r="SZ72" s="21"/>
      <c r="TA72" s="21"/>
      <c r="TB72" s="21"/>
      <c r="TC72" s="21"/>
      <c r="TD72" s="21"/>
      <c r="TE72" s="21"/>
      <c r="TF72" s="21"/>
      <c r="TG72" s="21"/>
      <c r="TH72" s="21"/>
      <c r="TI72" s="21"/>
      <c r="TJ72" s="21"/>
      <c r="TK72" s="21"/>
      <c r="TL72" s="21"/>
      <c r="TM72" s="21"/>
      <c r="TN72" s="21"/>
      <c r="TO72" s="21"/>
      <c r="TP72" s="21"/>
      <c r="TQ72" s="21"/>
      <c r="TR72" s="21"/>
      <c r="TS72" s="21"/>
      <c r="TT72" s="21"/>
      <c r="TU72" s="21"/>
      <c r="TV72" s="21"/>
      <c r="TW72" s="21"/>
      <c r="TX72" s="21"/>
      <c r="TY72" s="21"/>
      <c r="TZ72" s="21"/>
      <c r="UA72" s="21"/>
      <c r="UB72" s="21"/>
      <c r="UC72" s="21"/>
      <c r="UD72" s="21"/>
      <c r="UE72" s="21"/>
      <c r="UF72" s="21"/>
      <c r="UG72" s="21"/>
      <c r="UH72" s="21"/>
      <c r="UI72" s="21"/>
      <c r="UJ72" s="21"/>
      <c r="UK72" s="21"/>
      <c r="UL72" s="21"/>
      <c r="UM72" s="21"/>
      <c r="UN72" s="21"/>
      <c r="UO72" s="21"/>
      <c r="UP72" s="21"/>
      <c r="UQ72" s="21"/>
      <c r="UR72" s="21"/>
      <c r="US72" s="21"/>
      <c r="UT72" s="21"/>
      <c r="UU72" s="21"/>
      <c r="UV72" s="21"/>
      <c r="UW72" s="21"/>
      <c r="UX72" s="21"/>
      <c r="UY72" s="21"/>
      <c r="UZ72" s="21"/>
      <c r="VA72" s="21"/>
      <c r="VB72" s="21"/>
      <c r="VC72" s="21"/>
      <c r="VD72" s="21"/>
      <c r="VE72" s="21"/>
      <c r="VF72" s="21"/>
      <c r="VG72" s="21"/>
      <c r="VH72" s="21"/>
      <c r="VI72" s="21"/>
      <c r="VJ72" s="21"/>
      <c r="VK72" s="21"/>
      <c r="VL72" s="21"/>
      <c r="VM72" s="21"/>
      <c r="VN72" s="21"/>
      <c r="VO72" s="21"/>
      <c r="VP72" s="21"/>
      <c r="VQ72" s="21"/>
      <c r="VR72" s="21"/>
      <c r="VS72" s="21"/>
      <c r="VT72" s="21"/>
      <c r="VU72" s="21"/>
      <c r="VV72" s="21"/>
      <c r="VW72" s="21"/>
      <c r="VX72" s="21"/>
      <c r="VY72" s="21"/>
      <c r="VZ72" s="21"/>
      <c r="WA72" s="21"/>
      <c r="WB72" s="21"/>
      <c r="WC72" s="21"/>
      <c r="WD72" s="21"/>
      <c r="WE72" s="21"/>
      <c r="WF72" s="21"/>
      <c r="WG72" s="21"/>
      <c r="WH72" s="21"/>
      <c r="WI72" s="21"/>
      <c r="WJ72" s="21"/>
      <c r="WK72" s="21"/>
      <c r="WL72" s="21"/>
      <c r="WM72" s="21"/>
      <c r="WN72" s="21"/>
      <c r="WO72" s="21"/>
      <c r="WP72" s="21"/>
      <c r="WQ72" s="21"/>
      <c r="WR72" s="21"/>
      <c r="WS72" s="21"/>
      <c r="WT72" s="21"/>
      <c r="WU72" s="21"/>
      <c r="WV72" s="21"/>
      <c r="WW72" s="21"/>
      <c r="WX72" s="21"/>
      <c r="WY72" s="21"/>
      <c r="WZ72" s="21"/>
      <c r="XA72" s="21"/>
      <c r="XB72" s="21"/>
      <c r="XC72" s="21"/>
      <c r="XD72" s="21"/>
      <c r="XE72" s="21"/>
      <c r="XF72" s="21"/>
      <c r="XG72" s="21"/>
      <c r="XH72" s="21"/>
      <c r="XI72" s="21"/>
      <c r="XJ72" s="21"/>
      <c r="XK72" s="21"/>
      <c r="XL72" s="21"/>
      <c r="XM72" s="21"/>
      <c r="XN72" s="21"/>
      <c r="XO72" s="21"/>
      <c r="XP72" s="21"/>
      <c r="XQ72" s="21"/>
      <c r="XR72" s="21"/>
      <c r="XS72" s="21"/>
      <c r="XT72" s="21"/>
      <c r="XU72" s="21"/>
      <c r="XV72" s="21"/>
      <c r="XW72" s="21"/>
      <c r="XX72" s="21"/>
      <c r="XY72" s="21"/>
      <c r="XZ72" s="21"/>
      <c r="YA72" s="21"/>
      <c r="YB72" s="21"/>
      <c r="YC72" s="21"/>
      <c r="YD72" s="21"/>
      <c r="YE72" s="21"/>
      <c r="YF72" s="21"/>
      <c r="YG72" s="21"/>
      <c r="YH72" s="21"/>
      <c r="YI72" s="21"/>
      <c r="YJ72" s="21"/>
      <c r="YK72" s="21"/>
      <c r="YL72" s="21"/>
      <c r="YM72" s="21"/>
      <c r="YN72" s="21"/>
      <c r="YO72" s="21"/>
      <c r="YP72" s="21"/>
      <c r="YQ72" s="21"/>
      <c r="YR72" s="21"/>
      <c r="YS72" s="21"/>
      <c r="YT72" s="21"/>
      <c r="YU72" s="21"/>
      <c r="YV72" s="21"/>
      <c r="YW72" s="21"/>
      <c r="YX72" s="21"/>
      <c r="YY72" s="21"/>
      <c r="YZ72" s="21"/>
      <c r="ZA72" s="21"/>
      <c r="ZB72" s="21"/>
      <c r="ZC72" s="21"/>
      <c r="ZD72" s="21"/>
      <c r="ZE72" s="21"/>
      <c r="ZF72" s="21"/>
      <c r="ZG72" s="21"/>
      <c r="ZH72" s="21"/>
      <c r="ZI72" s="21"/>
      <c r="ZJ72" s="21"/>
      <c r="ZK72" s="21"/>
      <c r="ZL72" s="21"/>
      <c r="ZM72" s="21"/>
      <c r="ZN72" s="21"/>
      <c r="ZO72" s="21"/>
      <c r="ZP72" s="21"/>
      <c r="ZQ72" s="21"/>
      <c r="ZR72" s="21"/>
      <c r="ZS72" s="21"/>
      <c r="ZT72" s="21"/>
      <c r="ZU72" s="21"/>
      <c r="ZV72" s="21"/>
      <c r="ZW72" s="21"/>
      <c r="ZX72" s="21"/>
      <c r="ZY72" s="21"/>
      <c r="ZZ72" s="21"/>
      <c r="AAA72" s="21"/>
      <c r="AAB72" s="21"/>
      <c r="AAC72" s="21"/>
      <c r="AAD72" s="21"/>
      <c r="AAE72" s="21"/>
      <c r="AAF72" s="21"/>
      <c r="AAG72" s="21"/>
      <c r="AAH72" s="21"/>
      <c r="AAI72" s="21"/>
      <c r="AAJ72" s="21"/>
      <c r="AAK72" s="21"/>
      <c r="AAL72" s="21"/>
      <c r="AAM72" s="21"/>
      <c r="AAN72" s="21"/>
      <c r="AAO72" s="21"/>
      <c r="AAP72" s="21"/>
      <c r="AAQ72" s="21"/>
      <c r="AAR72" s="21"/>
      <c r="AAS72" s="21"/>
      <c r="AAT72" s="21"/>
      <c r="AAU72" s="21"/>
      <c r="AAV72" s="21"/>
      <c r="AAW72" s="21"/>
      <c r="AAX72" s="21"/>
      <c r="AAY72" s="21"/>
      <c r="AAZ72" s="21"/>
      <c r="ABA72" s="21"/>
      <c r="ABB72" s="21"/>
      <c r="ABC72" s="21"/>
      <c r="ABD72" s="21"/>
      <c r="ABE72" s="21"/>
      <c r="ABF72" s="21"/>
      <c r="ABG72" s="21"/>
      <c r="ABH72" s="21"/>
      <c r="ABI72" s="21"/>
      <c r="ABJ72" s="21"/>
      <c r="ABK72" s="21"/>
      <c r="ABL72" s="21"/>
      <c r="ABM72" s="21"/>
      <c r="ABN72" s="21"/>
      <c r="ABO72" s="21"/>
      <c r="ABP72" s="21"/>
      <c r="ABQ72" s="21"/>
      <c r="ABR72" s="21"/>
      <c r="ABS72" s="21"/>
      <c r="ABT72" s="21"/>
      <c r="ABU72" s="21"/>
      <c r="ABV72" s="21"/>
      <c r="ABW72" s="21"/>
      <c r="ABX72" s="21"/>
      <c r="ABY72" s="21"/>
      <c r="ABZ72" s="21"/>
      <c r="ACA72" s="21"/>
      <c r="ACB72" s="21"/>
      <c r="ACC72" s="21"/>
      <c r="ACD72" s="21"/>
      <c r="ACE72" s="21"/>
      <c r="ACF72" s="21"/>
      <c r="ACG72" s="21"/>
      <c r="ACH72" s="21"/>
      <c r="ACI72" s="21"/>
      <c r="ACJ72" s="21"/>
      <c r="ACK72" s="21"/>
      <c r="ACL72" s="21"/>
      <c r="ACM72" s="21"/>
      <c r="ACN72" s="21"/>
      <c r="ACO72" s="21"/>
      <c r="ACP72" s="21"/>
      <c r="ACQ72" s="21"/>
      <c r="ACR72" s="21"/>
      <c r="ACS72" s="21"/>
      <c r="ACT72" s="21"/>
      <c r="ACU72" s="21"/>
      <c r="ACV72" s="21"/>
      <c r="ACW72" s="21"/>
      <c r="ACX72" s="21"/>
      <c r="ACY72" s="21"/>
      <c r="ACZ72" s="21"/>
      <c r="ADA72" s="21"/>
      <c r="ADB72" s="21"/>
      <c r="ADC72" s="21"/>
      <c r="ADD72" s="21"/>
      <c r="ADE72" s="21"/>
      <c r="ADF72" s="21"/>
      <c r="ADG72" s="21"/>
      <c r="ADH72" s="21"/>
      <c r="ADI72" s="21"/>
      <c r="ADJ72" s="21"/>
      <c r="ADK72" s="21"/>
      <c r="ADL72" s="21"/>
      <c r="ADM72" s="21"/>
      <c r="ADN72" s="21"/>
      <c r="ADO72" s="21"/>
      <c r="ADP72" s="21"/>
      <c r="ADQ72" s="21"/>
      <c r="ADR72" s="21"/>
      <c r="ADS72" s="21"/>
      <c r="ADT72" s="21"/>
      <c r="ADU72" s="21"/>
      <c r="ADV72" s="21"/>
      <c r="ADW72" s="21"/>
      <c r="ADX72" s="21"/>
      <c r="ADY72" s="21"/>
      <c r="ADZ72" s="21"/>
      <c r="AEA72" s="21"/>
      <c r="AEB72" s="21"/>
      <c r="AEC72" s="21"/>
      <c r="AED72" s="21"/>
      <c r="AEE72" s="21"/>
      <c r="AEF72" s="21"/>
      <c r="AEG72" s="21"/>
    </row>
    <row r="73" spans="1:813" s="93" customFormat="1" ht="60.75" thickBot="1" x14ac:dyDescent="0.3">
      <c r="A73" s="190"/>
      <c r="B73" s="184"/>
      <c r="C73" s="89" t="s">
        <v>358</v>
      </c>
      <c r="D73" s="72" t="s">
        <v>357</v>
      </c>
      <c r="E73" s="73" t="s">
        <v>356</v>
      </c>
      <c r="F73" s="110">
        <v>39.30952380952381</v>
      </c>
      <c r="G73" s="58">
        <f>0</f>
        <v>0</v>
      </c>
      <c r="H73" s="33">
        <f t="shared" si="2"/>
        <v>0</v>
      </c>
      <c r="I73" s="58">
        <v>0</v>
      </c>
      <c r="J73" s="33">
        <f t="shared" si="15"/>
        <v>0</v>
      </c>
      <c r="K73" s="58">
        <v>0</v>
      </c>
      <c r="L73" s="33">
        <f t="shared" si="16"/>
        <v>0</v>
      </c>
      <c r="M73" s="58">
        <f>7/2</f>
        <v>3.5</v>
      </c>
      <c r="N73" s="33">
        <f t="shared" si="17"/>
        <v>140</v>
      </c>
      <c r="O73" s="58">
        <f>3/2</f>
        <v>1.5</v>
      </c>
      <c r="P73" s="33">
        <f t="shared" si="6"/>
        <v>60</v>
      </c>
      <c r="Q73" s="58">
        <f>2/2</f>
        <v>1</v>
      </c>
      <c r="R73" s="33">
        <f t="shared" si="7"/>
        <v>40</v>
      </c>
      <c r="S73" s="58">
        <f>3/2</f>
        <v>1.5</v>
      </c>
      <c r="T73" s="33">
        <f>ROUND($F73*S73,-1)</f>
        <v>60</v>
      </c>
      <c r="U73" s="58">
        <f>8/2</f>
        <v>4</v>
      </c>
      <c r="V73" s="33">
        <f t="shared" si="18"/>
        <v>160</v>
      </c>
      <c r="W73" s="58">
        <f>1/2</f>
        <v>0.5</v>
      </c>
      <c r="X73" s="33">
        <f t="shared" si="10"/>
        <v>20</v>
      </c>
      <c r="Y73" s="58">
        <f>30/2</f>
        <v>15</v>
      </c>
      <c r="Z73" s="33">
        <f>ROUND($F73*Y73,-1)</f>
        <v>590</v>
      </c>
      <c r="AA73" s="58">
        <f>0</f>
        <v>0</v>
      </c>
      <c r="AB73" s="33">
        <f t="shared" si="19"/>
        <v>0</v>
      </c>
      <c r="AC73" s="58">
        <f>4/2</f>
        <v>2</v>
      </c>
      <c r="AD73" s="33">
        <f t="shared" si="20"/>
        <v>80</v>
      </c>
      <c r="AE73" s="58"/>
      <c r="AF73" s="33">
        <f t="shared" si="14"/>
        <v>1150</v>
      </c>
      <c r="AG73" s="59">
        <v>0</v>
      </c>
      <c r="AH73" s="59">
        <v>0</v>
      </c>
      <c r="AI73" s="58">
        <v>0</v>
      </c>
      <c r="AJ73" s="57">
        <v>58421.389390793396</v>
      </c>
      <c r="AK73" s="57">
        <v>4758.8173856640024</v>
      </c>
      <c r="AL73" s="57">
        <v>63180.206776457402</v>
      </c>
      <c r="AM73" s="56" t="s">
        <v>18</v>
      </c>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c r="HO73" s="21"/>
      <c r="HP73" s="21"/>
      <c r="HQ73" s="21"/>
      <c r="HR73" s="21"/>
      <c r="HS73" s="21"/>
      <c r="HT73" s="21"/>
      <c r="HU73" s="21"/>
      <c r="HV73" s="21"/>
      <c r="HW73" s="21"/>
      <c r="HX73" s="21"/>
      <c r="HY73" s="21"/>
      <c r="HZ73" s="21"/>
      <c r="IA73" s="21"/>
      <c r="IB73" s="21"/>
      <c r="IC73" s="21"/>
      <c r="ID73" s="21"/>
      <c r="IE73" s="21"/>
      <c r="IF73" s="21"/>
      <c r="IG73" s="21"/>
      <c r="IH73" s="21"/>
      <c r="II73" s="21"/>
      <c r="IJ73" s="21"/>
      <c r="IK73" s="21"/>
      <c r="IL73" s="21"/>
      <c r="IM73" s="21"/>
      <c r="IN73" s="21"/>
      <c r="IO73" s="21"/>
      <c r="IP73" s="21"/>
      <c r="IQ73" s="21"/>
      <c r="IR73" s="21"/>
      <c r="IS73" s="21"/>
      <c r="IT73" s="21"/>
      <c r="IU73" s="21"/>
      <c r="IV73" s="21"/>
      <c r="IW73" s="21"/>
      <c r="IX73" s="21"/>
      <c r="IY73" s="21"/>
      <c r="IZ73" s="21"/>
      <c r="JA73" s="21"/>
      <c r="JB73" s="21"/>
      <c r="JC73" s="21"/>
      <c r="JD73" s="21"/>
      <c r="JE73" s="21"/>
      <c r="JF73" s="21"/>
      <c r="JG73" s="21"/>
      <c r="JH73" s="21"/>
      <c r="JI73" s="21"/>
      <c r="JJ73" s="21"/>
      <c r="JK73" s="21"/>
      <c r="JL73" s="21"/>
      <c r="JM73" s="21"/>
      <c r="JN73" s="21"/>
      <c r="JO73" s="21"/>
      <c r="JP73" s="21"/>
      <c r="JQ73" s="21"/>
      <c r="JR73" s="21"/>
      <c r="JS73" s="21"/>
      <c r="JT73" s="21"/>
      <c r="JU73" s="21"/>
      <c r="JV73" s="21"/>
      <c r="JW73" s="21"/>
      <c r="JX73" s="21"/>
      <c r="JY73" s="21"/>
      <c r="JZ73" s="21"/>
      <c r="KA73" s="21"/>
      <c r="KB73" s="21"/>
      <c r="KC73" s="21"/>
      <c r="KD73" s="21"/>
      <c r="KE73" s="21"/>
      <c r="KF73" s="21"/>
      <c r="KG73" s="21"/>
      <c r="KH73" s="21"/>
      <c r="KI73" s="21"/>
      <c r="KJ73" s="21"/>
      <c r="KK73" s="21"/>
      <c r="KL73" s="21"/>
      <c r="KM73" s="21"/>
      <c r="KN73" s="21"/>
      <c r="KO73" s="21"/>
      <c r="KP73" s="21"/>
      <c r="KQ73" s="21"/>
      <c r="KR73" s="21"/>
      <c r="KS73" s="21"/>
      <c r="KT73" s="21"/>
      <c r="KU73" s="21"/>
      <c r="KV73" s="21"/>
      <c r="KW73" s="21"/>
      <c r="KX73" s="21"/>
      <c r="KY73" s="21"/>
      <c r="KZ73" s="21"/>
      <c r="LA73" s="21"/>
      <c r="LB73" s="21"/>
      <c r="LC73" s="21"/>
      <c r="LD73" s="21"/>
      <c r="LE73" s="21"/>
      <c r="LF73" s="21"/>
      <c r="LG73" s="21"/>
      <c r="LH73" s="21"/>
      <c r="LI73" s="21"/>
      <c r="LJ73" s="21"/>
      <c r="LK73" s="21"/>
      <c r="LL73" s="21"/>
      <c r="LM73" s="21"/>
      <c r="LN73" s="21"/>
      <c r="LO73" s="21"/>
      <c r="LP73" s="21"/>
      <c r="LQ73" s="21"/>
      <c r="LR73" s="21"/>
      <c r="LS73" s="21"/>
      <c r="LT73" s="21"/>
      <c r="LU73" s="21"/>
      <c r="LV73" s="21"/>
      <c r="LW73" s="21"/>
      <c r="LX73" s="21"/>
      <c r="LY73" s="21"/>
      <c r="LZ73" s="21"/>
      <c r="MA73" s="21"/>
      <c r="MB73" s="21"/>
      <c r="MC73" s="21"/>
      <c r="MD73" s="21"/>
      <c r="ME73" s="21"/>
      <c r="MF73" s="21"/>
      <c r="MG73" s="21"/>
      <c r="MH73" s="21"/>
      <c r="MI73" s="21"/>
      <c r="MJ73" s="21"/>
      <c r="MK73" s="21"/>
      <c r="ML73" s="21"/>
      <c r="MM73" s="21"/>
      <c r="MN73" s="21"/>
      <c r="MO73" s="21"/>
      <c r="MP73" s="21"/>
      <c r="MQ73" s="21"/>
      <c r="MR73" s="21"/>
      <c r="MS73" s="21"/>
      <c r="MT73" s="21"/>
      <c r="MU73" s="21"/>
      <c r="MV73" s="21"/>
      <c r="MW73" s="21"/>
      <c r="MX73" s="21"/>
      <c r="MY73" s="21"/>
      <c r="MZ73" s="21"/>
      <c r="NA73" s="21"/>
      <c r="NB73" s="21"/>
      <c r="NC73" s="21"/>
      <c r="ND73" s="21"/>
      <c r="NE73" s="21"/>
      <c r="NF73" s="21"/>
      <c r="NG73" s="21"/>
      <c r="NH73" s="21"/>
      <c r="NI73" s="21"/>
      <c r="NJ73" s="21"/>
      <c r="NK73" s="21"/>
      <c r="NL73" s="21"/>
      <c r="NM73" s="21"/>
      <c r="NN73" s="21"/>
      <c r="NO73" s="21"/>
      <c r="NP73" s="21"/>
      <c r="NQ73" s="21"/>
      <c r="NR73" s="21"/>
      <c r="NS73" s="21"/>
      <c r="NT73" s="21"/>
      <c r="NU73" s="21"/>
      <c r="NV73" s="21"/>
      <c r="NW73" s="21"/>
      <c r="NX73" s="21"/>
      <c r="NY73" s="21"/>
      <c r="NZ73" s="21"/>
      <c r="OA73" s="21"/>
      <c r="OB73" s="21"/>
      <c r="OC73" s="21"/>
      <c r="OD73" s="21"/>
      <c r="OE73" s="21"/>
      <c r="OF73" s="21"/>
      <c r="OG73" s="21"/>
      <c r="OH73" s="21"/>
      <c r="OI73" s="21"/>
      <c r="OJ73" s="21"/>
      <c r="OK73" s="21"/>
      <c r="OL73" s="21"/>
      <c r="OM73" s="21"/>
      <c r="ON73" s="21"/>
      <c r="OO73" s="21"/>
      <c r="OP73" s="21"/>
      <c r="OQ73" s="21"/>
      <c r="OR73" s="21"/>
      <c r="OS73" s="21"/>
      <c r="OT73" s="21"/>
      <c r="OU73" s="21"/>
      <c r="OV73" s="21"/>
      <c r="OW73" s="21"/>
      <c r="OX73" s="21"/>
      <c r="OY73" s="21"/>
      <c r="OZ73" s="21"/>
      <c r="PA73" s="21"/>
      <c r="PB73" s="21"/>
      <c r="PC73" s="21"/>
      <c r="PD73" s="21"/>
      <c r="PE73" s="21"/>
      <c r="PF73" s="21"/>
      <c r="PG73" s="21"/>
      <c r="PH73" s="21"/>
      <c r="PI73" s="21"/>
      <c r="PJ73" s="21"/>
      <c r="PK73" s="21"/>
      <c r="PL73" s="21"/>
      <c r="PM73" s="21"/>
      <c r="PN73" s="21"/>
      <c r="PO73" s="21"/>
      <c r="PP73" s="21"/>
      <c r="PQ73" s="21"/>
      <c r="PR73" s="21"/>
      <c r="PS73" s="21"/>
      <c r="PT73" s="21"/>
      <c r="PU73" s="21"/>
      <c r="PV73" s="21"/>
      <c r="PW73" s="21"/>
      <c r="PX73" s="21"/>
      <c r="PY73" s="21"/>
      <c r="PZ73" s="21"/>
      <c r="QA73" s="21"/>
      <c r="QB73" s="21"/>
      <c r="QC73" s="21"/>
      <c r="QD73" s="21"/>
      <c r="QE73" s="21"/>
      <c r="QF73" s="21"/>
      <c r="QG73" s="21"/>
      <c r="QH73" s="21"/>
      <c r="QI73" s="21"/>
      <c r="QJ73" s="21"/>
      <c r="QK73" s="21"/>
      <c r="QL73" s="21"/>
      <c r="QM73" s="21"/>
      <c r="QN73" s="21"/>
      <c r="QO73" s="21"/>
      <c r="QP73" s="21"/>
      <c r="QQ73" s="21"/>
      <c r="QR73" s="21"/>
      <c r="QS73" s="21"/>
      <c r="QT73" s="21"/>
      <c r="QU73" s="21"/>
      <c r="QV73" s="21"/>
      <c r="QW73" s="21"/>
      <c r="QX73" s="21"/>
      <c r="QY73" s="21"/>
      <c r="QZ73" s="21"/>
      <c r="RA73" s="21"/>
      <c r="RB73" s="21"/>
      <c r="RC73" s="21"/>
      <c r="RD73" s="21"/>
      <c r="RE73" s="21"/>
      <c r="RF73" s="21"/>
      <c r="RG73" s="21"/>
      <c r="RH73" s="21"/>
      <c r="RI73" s="21"/>
      <c r="RJ73" s="21"/>
      <c r="RK73" s="21"/>
      <c r="RL73" s="21"/>
      <c r="RM73" s="21"/>
      <c r="RN73" s="21"/>
      <c r="RO73" s="21"/>
      <c r="RP73" s="21"/>
      <c r="RQ73" s="21"/>
      <c r="RR73" s="21"/>
      <c r="RS73" s="21"/>
      <c r="RT73" s="21"/>
      <c r="RU73" s="21"/>
      <c r="RV73" s="21"/>
      <c r="RW73" s="21"/>
      <c r="RX73" s="21"/>
      <c r="RY73" s="21"/>
      <c r="RZ73" s="21"/>
      <c r="SA73" s="21"/>
      <c r="SB73" s="21"/>
      <c r="SC73" s="21"/>
      <c r="SD73" s="21"/>
      <c r="SE73" s="21"/>
      <c r="SF73" s="21"/>
      <c r="SG73" s="21"/>
      <c r="SH73" s="21"/>
      <c r="SI73" s="21"/>
      <c r="SJ73" s="21"/>
      <c r="SK73" s="21"/>
      <c r="SL73" s="21"/>
      <c r="SM73" s="21"/>
      <c r="SN73" s="21"/>
      <c r="SO73" s="21"/>
      <c r="SP73" s="21"/>
      <c r="SQ73" s="21"/>
      <c r="SR73" s="21"/>
      <c r="SS73" s="21"/>
      <c r="ST73" s="21"/>
      <c r="SU73" s="21"/>
      <c r="SV73" s="21"/>
      <c r="SW73" s="21"/>
      <c r="SX73" s="21"/>
      <c r="SY73" s="21"/>
      <c r="SZ73" s="21"/>
      <c r="TA73" s="21"/>
      <c r="TB73" s="21"/>
      <c r="TC73" s="21"/>
      <c r="TD73" s="21"/>
      <c r="TE73" s="21"/>
      <c r="TF73" s="21"/>
      <c r="TG73" s="21"/>
      <c r="TH73" s="21"/>
      <c r="TI73" s="21"/>
      <c r="TJ73" s="21"/>
      <c r="TK73" s="21"/>
      <c r="TL73" s="21"/>
      <c r="TM73" s="21"/>
      <c r="TN73" s="21"/>
      <c r="TO73" s="21"/>
      <c r="TP73" s="21"/>
      <c r="TQ73" s="21"/>
      <c r="TR73" s="21"/>
      <c r="TS73" s="21"/>
      <c r="TT73" s="21"/>
      <c r="TU73" s="21"/>
      <c r="TV73" s="21"/>
      <c r="TW73" s="21"/>
      <c r="TX73" s="21"/>
      <c r="TY73" s="21"/>
      <c r="TZ73" s="21"/>
      <c r="UA73" s="21"/>
      <c r="UB73" s="21"/>
      <c r="UC73" s="21"/>
      <c r="UD73" s="21"/>
      <c r="UE73" s="21"/>
      <c r="UF73" s="21"/>
      <c r="UG73" s="21"/>
      <c r="UH73" s="21"/>
      <c r="UI73" s="21"/>
      <c r="UJ73" s="21"/>
      <c r="UK73" s="21"/>
      <c r="UL73" s="21"/>
      <c r="UM73" s="21"/>
      <c r="UN73" s="21"/>
      <c r="UO73" s="21"/>
      <c r="UP73" s="21"/>
      <c r="UQ73" s="21"/>
      <c r="UR73" s="21"/>
      <c r="US73" s="21"/>
      <c r="UT73" s="21"/>
      <c r="UU73" s="21"/>
      <c r="UV73" s="21"/>
      <c r="UW73" s="21"/>
      <c r="UX73" s="21"/>
      <c r="UY73" s="21"/>
      <c r="UZ73" s="21"/>
      <c r="VA73" s="21"/>
      <c r="VB73" s="21"/>
      <c r="VC73" s="21"/>
      <c r="VD73" s="21"/>
      <c r="VE73" s="21"/>
      <c r="VF73" s="21"/>
      <c r="VG73" s="21"/>
      <c r="VH73" s="21"/>
      <c r="VI73" s="21"/>
      <c r="VJ73" s="21"/>
      <c r="VK73" s="21"/>
      <c r="VL73" s="21"/>
      <c r="VM73" s="21"/>
      <c r="VN73" s="21"/>
      <c r="VO73" s="21"/>
      <c r="VP73" s="21"/>
      <c r="VQ73" s="21"/>
      <c r="VR73" s="21"/>
      <c r="VS73" s="21"/>
      <c r="VT73" s="21"/>
      <c r="VU73" s="21"/>
      <c r="VV73" s="21"/>
      <c r="VW73" s="21"/>
      <c r="VX73" s="21"/>
      <c r="VY73" s="21"/>
      <c r="VZ73" s="21"/>
      <c r="WA73" s="21"/>
      <c r="WB73" s="21"/>
      <c r="WC73" s="21"/>
      <c r="WD73" s="21"/>
      <c r="WE73" s="21"/>
      <c r="WF73" s="21"/>
      <c r="WG73" s="21"/>
      <c r="WH73" s="21"/>
      <c r="WI73" s="21"/>
      <c r="WJ73" s="21"/>
      <c r="WK73" s="21"/>
      <c r="WL73" s="21"/>
      <c r="WM73" s="21"/>
      <c r="WN73" s="21"/>
      <c r="WO73" s="21"/>
      <c r="WP73" s="21"/>
      <c r="WQ73" s="21"/>
      <c r="WR73" s="21"/>
      <c r="WS73" s="21"/>
      <c r="WT73" s="21"/>
      <c r="WU73" s="21"/>
      <c r="WV73" s="21"/>
      <c r="WW73" s="21"/>
      <c r="WX73" s="21"/>
      <c r="WY73" s="21"/>
      <c r="WZ73" s="21"/>
      <c r="XA73" s="21"/>
      <c r="XB73" s="21"/>
      <c r="XC73" s="21"/>
      <c r="XD73" s="21"/>
      <c r="XE73" s="21"/>
      <c r="XF73" s="21"/>
      <c r="XG73" s="21"/>
      <c r="XH73" s="21"/>
      <c r="XI73" s="21"/>
      <c r="XJ73" s="21"/>
      <c r="XK73" s="21"/>
      <c r="XL73" s="21"/>
      <c r="XM73" s="21"/>
      <c r="XN73" s="21"/>
      <c r="XO73" s="21"/>
      <c r="XP73" s="21"/>
      <c r="XQ73" s="21"/>
      <c r="XR73" s="21"/>
      <c r="XS73" s="21"/>
      <c r="XT73" s="21"/>
      <c r="XU73" s="21"/>
      <c r="XV73" s="21"/>
      <c r="XW73" s="21"/>
      <c r="XX73" s="21"/>
      <c r="XY73" s="21"/>
      <c r="XZ73" s="21"/>
      <c r="YA73" s="21"/>
      <c r="YB73" s="21"/>
      <c r="YC73" s="21"/>
      <c r="YD73" s="21"/>
      <c r="YE73" s="21"/>
      <c r="YF73" s="21"/>
      <c r="YG73" s="21"/>
      <c r="YH73" s="21"/>
      <c r="YI73" s="21"/>
      <c r="YJ73" s="21"/>
      <c r="YK73" s="21"/>
      <c r="YL73" s="21"/>
      <c r="YM73" s="21"/>
      <c r="YN73" s="21"/>
      <c r="YO73" s="21"/>
      <c r="YP73" s="21"/>
      <c r="YQ73" s="21"/>
      <c r="YR73" s="21"/>
      <c r="YS73" s="21"/>
      <c r="YT73" s="21"/>
      <c r="YU73" s="21"/>
      <c r="YV73" s="21"/>
      <c r="YW73" s="21"/>
      <c r="YX73" s="21"/>
      <c r="YY73" s="21"/>
      <c r="YZ73" s="21"/>
      <c r="ZA73" s="21"/>
      <c r="ZB73" s="21"/>
      <c r="ZC73" s="21"/>
      <c r="ZD73" s="21"/>
      <c r="ZE73" s="21"/>
      <c r="ZF73" s="21"/>
      <c r="ZG73" s="21"/>
      <c r="ZH73" s="21"/>
      <c r="ZI73" s="21"/>
      <c r="ZJ73" s="21"/>
      <c r="ZK73" s="21"/>
      <c r="ZL73" s="21"/>
      <c r="ZM73" s="21"/>
      <c r="ZN73" s="21"/>
      <c r="ZO73" s="21"/>
      <c r="ZP73" s="21"/>
      <c r="ZQ73" s="21"/>
      <c r="ZR73" s="21"/>
      <c r="ZS73" s="21"/>
      <c r="ZT73" s="21"/>
      <c r="ZU73" s="21"/>
      <c r="ZV73" s="21"/>
      <c r="ZW73" s="21"/>
      <c r="ZX73" s="21"/>
      <c r="ZY73" s="21"/>
      <c r="ZZ73" s="21"/>
      <c r="AAA73" s="21"/>
      <c r="AAB73" s="21"/>
      <c r="AAC73" s="21"/>
      <c r="AAD73" s="21"/>
      <c r="AAE73" s="21"/>
      <c r="AAF73" s="21"/>
      <c r="AAG73" s="21"/>
      <c r="AAH73" s="21"/>
      <c r="AAI73" s="21"/>
      <c r="AAJ73" s="21"/>
      <c r="AAK73" s="21"/>
      <c r="AAL73" s="21"/>
      <c r="AAM73" s="21"/>
      <c r="AAN73" s="21"/>
      <c r="AAO73" s="21"/>
      <c r="AAP73" s="21"/>
      <c r="AAQ73" s="21"/>
      <c r="AAR73" s="21"/>
      <c r="AAS73" s="21"/>
      <c r="AAT73" s="21"/>
      <c r="AAU73" s="21"/>
      <c r="AAV73" s="21"/>
      <c r="AAW73" s="21"/>
      <c r="AAX73" s="21"/>
      <c r="AAY73" s="21"/>
      <c r="AAZ73" s="21"/>
      <c r="ABA73" s="21"/>
      <c r="ABB73" s="21"/>
      <c r="ABC73" s="21"/>
      <c r="ABD73" s="21"/>
      <c r="ABE73" s="21"/>
      <c r="ABF73" s="21"/>
      <c r="ABG73" s="21"/>
      <c r="ABH73" s="21"/>
      <c r="ABI73" s="21"/>
      <c r="ABJ73" s="21"/>
      <c r="ABK73" s="21"/>
      <c r="ABL73" s="21"/>
      <c r="ABM73" s="21"/>
      <c r="ABN73" s="21"/>
      <c r="ABO73" s="21"/>
      <c r="ABP73" s="21"/>
      <c r="ABQ73" s="21"/>
      <c r="ABR73" s="21"/>
      <c r="ABS73" s="21"/>
      <c r="ABT73" s="21"/>
      <c r="ABU73" s="21"/>
      <c r="ABV73" s="21"/>
      <c r="ABW73" s="21"/>
      <c r="ABX73" s="21"/>
      <c r="ABY73" s="21"/>
      <c r="ABZ73" s="21"/>
      <c r="ACA73" s="21"/>
      <c r="ACB73" s="21"/>
      <c r="ACC73" s="21"/>
      <c r="ACD73" s="21"/>
      <c r="ACE73" s="21"/>
      <c r="ACF73" s="21"/>
      <c r="ACG73" s="21"/>
      <c r="ACH73" s="21"/>
      <c r="ACI73" s="21"/>
      <c r="ACJ73" s="21"/>
      <c r="ACK73" s="21"/>
      <c r="ACL73" s="21"/>
      <c r="ACM73" s="21"/>
      <c r="ACN73" s="21"/>
      <c r="ACO73" s="21"/>
      <c r="ACP73" s="21"/>
      <c r="ACQ73" s="21"/>
      <c r="ACR73" s="21"/>
      <c r="ACS73" s="21"/>
      <c r="ACT73" s="21"/>
      <c r="ACU73" s="21"/>
      <c r="ACV73" s="21"/>
      <c r="ACW73" s="21"/>
      <c r="ACX73" s="21"/>
      <c r="ACY73" s="21"/>
      <c r="ACZ73" s="21"/>
      <c r="ADA73" s="21"/>
      <c r="ADB73" s="21"/>
      <c r="ADC73" s="21"/>
      <c r="ADD73" s="21"/>
      <c r="ADE73" s="21"/>
      <c r="ADF73" s="21"/>
      <c r="ADG73" s="21"/>
      <c r="ADH73" s="21"/>
      <c r="ADI73" s="21"/>
      <c r="ADJ73" s="21"/>
      <c r="ADK73" s="21"/>
      <c r="ADL73" s="21"/>
      <c r="ADM73" s="21"/>
      <c r="ADN73" s="21"/>
      <c r="ADO73" s="21"/>
      <c r="ADP73" s="21"/>
      <c r="ADQ73" s="21"/>
      <c r="ADR73" s="21"/>
      <c r="ADS73" s="21"/>
      <c r="ADT73" s="21"/>
      <c r="ADU73" s="21"/>
      <c r="ADV73" s="21"/>
      <c r="ADW73" s="21"/>
      <c r="ADX73" s="21"/>
      <c r="ADY73" s="21"/>
      <c r="ADZ73" s="21"/>
      <c r="AEA73" s="21"/>
      <c r="AEB73" s="21"/>
      <c r="AEC73" s="21"/>
      <c r="AED73" s="21"/>
      <c r="AEE73" s="21"/>
      <c r="AEF73" s="21"/>
      <c r="AEG73" s="21"/>
    </row>
    <row r="74" spans="1:813" s="65" customFormat="1" ht="54.75" customHeight="1" thickBot="1" x14ac:dyDescent="0.3">
      <c r="A74" s="205" t="s">
        <v>355</v>
      </c>
      <c r="B74" s="206"/>
      <c r="C74" s="206"/>
      <c r="D74" s="206"/>
      <c r="E74" s="124"/>
      <c r="F74" s="123"/>
      <c r="G74" s="122"/>
      <c r="H74" s="122">
        <f>SUM(H75:H89)</f>
        <v>490</v>
      </c>
      <c r="I74" s="122"/>
      <c r="J74" s="122">
        <f>SUM(J75:J89)</f>
        <v>1675</v>
      </c>
      <c r="K74" s="122"/>
      <c r="L74" s="122">
        <f>SUM(L75:L89)</f>
        <v>2785</v>
      </c>
      <c r="M74" s="122"/>
      <c r="N74" s="122">
        <f>SUM(N75:N89)</f>
        <v>2725</v>
      </c>
      <c r="O74" s="122"/>
      <c r="P74" s="122">
        <f>SUM(P75:P89)</f>
        <v>95</v>
      </c>
      <c r="Q74" s="122"/>
      <c r="R74" s="122">
        <f>SUM(R75:R89)</f>
        <v>1395</v>
      </c>
      <c r="S74" s="122"/>
      <c r="T74" s="122">
        <f>SUM(T75:T89)</f>
        <v>4305</v>
      </c>
      <c r="U74" s="122"/>
      <c r="V74" s="122">
        <f>SUM(V75:V89)</f>
        <v>1170</v>
      </c>
      <c r="W74" s="122"/>
      <c r="X74" s="122">
        <f>SUM(X75:X89)</f>
        <v>625</v>
      </c>
      <c r="Y74" s="122"/>
      <c r="Z74" s="122">
        <f>SUM(Z75:Z89)</f>
        <v>370</v>
      </c>
      <c r="AA74" s="122"/>
      <c r="AB74" s="122">
        <f>SUM(AB75:AB89)</f>
        <v>480</v>
      </c>
      <c r="AC74" s="122"/>
      <c r="AD74" s="122">
        <f>SUM(AD75:AD89)</f>
        <v>940</v>
      </c>
      <c r="AE74" s="122"/>
      <c r="AF74" s="121">
        <f>SUM(AF75:AF89)</f>
        <v>17055</v>
      </c>
      <c r="AG74" s="121"/>
      <c r="AH74" s="121"/>
      <c r="AI74" s="121">
        <f>SUM(AI75:AI89)</f>
        <v>6665</v>
      </c>
      <c r="AJ74" s="120">
        <f>SUM(AJ75:AJ89)</f>
        <v>1511493.3522659868</v>
      </c>
      <c r="AK74" s="120">
        <f>SUM(AK75:AK89)</f>
        <v>123121.35877091056</v>
      </c>
      <c r="AL74" s="120">
        <f>SUM(AL75:AL89)</f>
        <v>1634614.7110368975</v>
      </c>
      <c r="AM74" s="119"/>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row>
    <row r="75" spans="1:813" s="93" customFormat="1" ht="120" x14ac:dyDescent="0.25">
      <c r="A75" s="204">
        <v>26</v>
      </c>
      <c r="B75" s="104" t="s">
        <v>324</v>
      </c>
      <c r="C75" s="103" t="s">
        <v>354</v>
      </c>
      <c r="D75" s="82" t="s">
        <v>353</v>
      </c>
      <c r="E75" s="83" t="s">
        <v>352</v>
      </c>
      <c r="F75" s="82"/>
      <c r="G75" s="33"/>
      <c r="H75" s="33">
        <v>215</v>
      </c>
      <c r="I75" s="33"/>
      <c r="J75" s="33"/>
      <c r="K75" s="33"/>
      <c r="L75" s="33">
        <v>450</v>
      </c>
      <c r="M75" s="33"/>
      <c r="N75" s="33">
        <v>600</v>
      </c>
      <c r="O75" s="33"/>
      <c r="P75" s="33"/>
      <c r="Q75" s="33"/>
      <c r="R75" s="33">
        <v>100</v>
      </c>
      <c r="S75" s="33"/>
      <c r="T75" s="33">
        <v>1920</v>
      </c>
      <c r="U75" s="33"/>
      <c r="V75" s="33">
        <v>610</v>
      </c>
      <c r="W75" s="33"/>
      <c r="X75" s="33"/>
      <c r="Y75" s="33"/>
      <c r="Z75" s="33">
        <v>200</v>
      </c>
      <c r="AA75" s="33"/>
      <c r="AB75" s="33">
        <v>400</v>
      </c>
      <c r="AC75" s="33"/>
      <c r="AD75" s="33">
        <v>585</v>
      </c>
      <c r="AE75" s="33"/>
      <c r="AF75" s="33">
        <f t="shared" ref="AF75:AF89" si="21">SUM(G75:AD75)</f>
        <v>5080</v>
      </c>
      <c r="AG75" s="33"/>
      <c r="AH75" s="33"/>
      <c r="AI75" s="33">
        <v>110</v>
      </c>
      <c r="AJ75" s="46">
        <v>302474.37671726116</v>
      </c>
      <c r="AK75" s="46">
        <v>24638.584218040229</v>
      </c>
      <c r="AL75" s="46">
        <v>327112.96093530138</v>
      </c>
      <c r="AM75" s="45" t="s">
        <v>18</v>
      </c>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c r="ID75" s="21"/>
      <c r="IE75" s="21"/>
      <c r="IF75" s="21"/>
      <c r="IG75" s="21"/>
      <c r="IH75" s="21"/>
      <c r="II75" s="21"/>
      <c r="IJ75" s="21"/>
      <c r="IK75" s="21"/>
      <c r="IL75" s="21"/>
      <c r="IM75" s="21"/>
      <c r="IN75" s="21"/>
      <c r="IO75" s="21"/>
      <c r="IP75" s="21"/>
      <c r="IQ75" s="21"/>
      <c r="IR75" s="21"/>
      <c r="IS75" s="21"/>
      <c r="IT75" s="21"/>
      <c r="IU75" s="21"/>
      <c r="IV75" s="21"/>
      <c r="IW75" s="21"/>
      <c r="IX75" s="21"/>
      <c r="IY75" s="21"/>
      <c r="IZ75" s="21"/>
      <c r="JA75" s="21"/>
      <c r="JB75" s="21"/>
      <c r="JC75" s="21"/>
      <c r="JD75" s="21"/>
      <c r="JE75" s="21"/>
      <c r="JF75" s="21"/>
      <c r="JG75" s="21"/>
      <c r="JH75" s="21"/>
      <c r="JI75" s="21"/>
      <c r="JJ75" s="21"/>
      <c r="JK75" s="21"/>
      <c r="JL75" s="21"/>
      <c r="JM75" s="21"/>
      <c r="JN75" s="21"/>
      <c r="JO75" s="21"/>
      <c r="JP75" s="21"/>
      <c r="JQ75" s="21"/>
      <c r="JR75" s="21"/>
      <c r="JS75" s="21"/>
      <c r="JT75" s="21"/>
      <c r="JU75" s="21"/>
      <c r="JV75" s="21"/>
      <c r="JW75" s="21"/>
      <c r="JX75" s="21"/>
      <c r="JY75" s="21"/>
      <c r="JZ75" s="21"/>
      <c r="KA75" s="21"/>
      <c r="KB75" s="21"/>
      <c r="KC75" s="21"/>
      <c r="KD75" s="21"/>
      <c r="KE75" s="21"/>
      <c r="KF75" s="21"/>
      <c r="KG75" s="21"/>
      <c r="KH75" s="21"/>
      <c r="KI75" s="21"/>
      <c r="KJ75" s="21"/>
      <c r="KK75" s="21"/>
      <c r="KL75" s="21"/>
      <c r="KM75" s="21"/>
      <c r="KN75" s="21"/>
      <c r="KO75" s="21"/>
      <c r="KP75" s="21"/>
      <c r="KQ75" s="21"/>
      <c r="KR75" s="21"/>
      <c r="KS75" s="21"/>
      <c r="KT75" s="21"/>
      <c r="KU75" s="21"/>
      <c r="KV75" s="21"/>
      <c r="KW75" s="21"/>
      <c r="KX75" s="21"/>
      <c r="KY75" s="21"/>
      <c r="KZ75" s="21"/>
      <c r="LA75" s="21"/>
      <c r="LB75" s="21"/>
      <c r="LC75" s="21"/>
      <c r="LD75" s="21"/>
      <c r="LE75" s="21"/>
      <c r="LF75" s="21"/>
      <c r="LG75" s="21"/>
      <c r="LH75" s="21"/>
      <c r="LI75" s="21"/>
      <c r="LJ75" s="21"/>
      <c r="LK75" s="21"/>
      <c r="LL75" s="21"/>
      <c r="LM75" s="21"/>
      <c r="LN75" s="21"/>
      <c r="LO75" s="21"/>
      <c r="LP75" s="21"/>
      <c r="LQ75" s="21"/>
      <c r="LR75" s="21"/>
      <c r="LS75" s="21"/>
      <c r="LT75" s="21"/>
      <c r="LU75" s="21"/>
      <c r="LV75" s="21"/>
      <c r="LW75" s="21"/>
      <c r="LX75" s="21"/>
      <c r="LY75" s="21"/>
      <c r="LZ75" s="21"/>
      <c r="MA75" s="21"/>
      <c r="MB75" s="21"/>
      <c r="MC75" s="21"/>
      <c r="MD75" s="21"/>
      <c r="ME75" s="21"/>
      <c r="MF75" s="21"/>
      <c r="MG75" s="21"/>
      <c r="MH75" s="21"/>
      <c r="MI75" s="21"/>
      <c r="MJ75" s="21"/>
      <c r="MK75" s="21"/>
      <c r="ML75" s="21"/>
      <c r="MM75" s="21"/>
      <c r="MN75" s="21"/>
      <c r="MO75" s="21"/>
      <c r="MP75" s="21"/>
      <c r="MQ75" s="21"/>
      <c r="MR75" s="21"/>
      <c r="MS75" s="21"/>
      <c r="MT75" s="21"/>
      <c r="MU75" s="21"/>
      <c r="MV75" s="21"/>
      <c r="MW75" s="21"/>
      <c r="MX75" s="21"/>
      <c r="MY75" s="21"/>
      <c r="MZ75" s="21"/>
      <c r="NA75" s="21"/>
      <c r="NB75" s="21"/>
      <c r="NC75" s="21"/>
      <c r="ND75" s="21"/>
      <c r="NE75" s="21"/>
      <c r="NF75" s="21"/>
      <c r="NG75" s="21"/>
      <c r="NH75" s="21"/>
      <c r="NI75" s="21"/>
      <c r="NJ75" s="21"/>
      <c r="NK75" s="21"/>
      <c r="NL75" s="21"/>
      <c r="NM75" s="21"/>
      <c r="NN75" s="21"/>
      <c r="NO75" s="21"/>
      <c r="NP75" s="21"/>
      <c r="NQ75" s="21"/>
      <c r="NR75" s="21"/>
      <c r="NS75" s="21"/>
      <c r="NT75" s="21"/>
      <c r="NU75" s="21"/>
      <c r="NV75" s="21"/>
      <c r="NW75" s="21"/>
      <c r="NX75" s="21"/>
      <c r="NY75" s="21"/>
      <c r="NZ75" s="21"/>
      <c r="OA75" s="21"/>
      <c r="OB75" s="21"/>
      <c r="OC75" s="21"/>
      <c r="OD75" s="21"/>
      <c r="OE75" s="21"/>
      <c r="OF75" s="21"/>
      <c r="OG75" s="21"/>
      <c r="OH75" s="21"/>
      <c r="OI75" s="21"/>
      <c r="OJ75" s="21"/>
      <c r="OK75" s="21"/>
      <c r="OL75" s="21"/>
      <c r="OM75" s="21"/>
      <c r="ON75" s="21"/>
      <c r="OO75" s="21"/>
      <c r="OP75" s="21"/>
      <c r="OQ75" s="21"/>
      <c r="OR75" s="21"/>
      <c r="OS75" s="21"/>
      <c r="OT75" s="21"/>
      <c r="OU75" s="21"/>
      <c r="OV75" s="21"/>
      <c r="OW75" s="21"/>
      <c r="OX75" s="21"/>
      <c r="OY75" s="21"/>
      <c r="OZ75" s="21"/>
      <c r="PA75" s="21"/>
      <c r="PB75" s="21"/>
      <c r="PC75" s="21"/>
      <c r="PD75" s="21"/>
      <c r="PE75" s="21"/>
      <c r="PF75" s="21"/>
      <c r="PG75" s="21"/>
      <c r="PH75" s="21"/>
      <c r="PI75" s="21"/>
      <c r="PJ75" s="21"/>
      <c r="PK75" s="21"/>
      <c r="PL75" s="21"/>
      <c r="PM75" s="21"/>
      <c r="PN75" s="21"/>
      <c r="PO75" s="21"/>
      <c r="PP75" s="21"/>
      <c r="PQ75" s="21"/>
      <c r="PR75" s="21"/>
      <c r="PS75" s="21"/>
      <c r="PT75" s="21"/>
      <c r="PU75" s="21"/>
      <c r="PV75" s="21"/>
      <c r="PW75" s="21"/>
      <c r="PX75" s="21"/>
      <c r="PY75" s="21"/>
      <c r="PZ75" s="21"/>
      <c r="QA75" s="21"/>
      <c r="QB75" s="21"/>
      <c r="QC75" s="21"/>
      <c r="QD75" s="21"/>
      <c r="QE75" s="21"/>
      <c r="QF75" s="21"/>
      <c r="QG75" s="21"/>
      <c r="QH75" s="21"/>
      <c r="QI75" s="21"/>
      <c r="QJ75" s="21"/>
      <c r="QK75" s="21"/>
      <c r="QL75" s="21"/>
      <c r="QM75" s="21"/>
      <c r="QN75" s="21"/>
      <c r="QO75" s="21"/>
      <c r="QP75" s="21"/>
      <c r="QQ75" s="21"/>
      <c r="QR75" s="21"/>
      <c r="QS75" s="21"/>
      <c r="QT75" s="21"/>
      <c r="QU75" s="21"/>
      <c r="QV75" s="21"/>
      <c r="QW75" s="21"/>
      <c r="QX75" s="21"/>
      <c r="QY75" s="21"/>
      <c r="QZ75" s="21"/>
      <c r="RA75" s="21"/>
      <c r="RB75" s="21"/>
      <c r="RC75" s="21"/>
      <c r="RD75" s="21"/>
      <c r="RE75" s="21"/>
      <c r="RF75" s="21"/>
      <c r="RG75" s="21"/>
      <c r="RH75" s="21"/>
      <c r="RI75" s="21"/>
      <c r="RJ75" s="21"/>
      <c r="RK75" s="21"/>
      <c r="RL75" s="21"/>
      <c r="RM75" s="21"/>
      <c r="RN75" s="21"/>
      <c r="RO75" s="21"/>
      <c r="RP75" s="21"/>
      <c r="RQ75" s="21"/>
      <c r="RR75" s="21"/>
      <c r="RS75" s="21"/>
      <c r="RT75" s="21"/>
      <c r="RU75" s="21"/>
      <c r="RV75" s="21"/>
      <c r="RW75" s="21"/>
      <c r="RX75" s="21"/>
      <c r="RY75" s="21"/>
      <c r="RZ75" s="21"/>
      <c r="SA75" s="21"/>
      <c r="SB75" s="21"/>
      <c r="SC75" s="21"/>
      <c r="SD75" s="21"/>
      <c r="SE75" s="21"/>
      <c r="SF75" s="21"/>
      <c r="SG75" s="21"/>
      <c r="SH75" s="21"/>
      <c r="SI75" s="21"/>
      <c r="SJ75" s="21"/>
      <c r="SK75" s="21"/>
      <c r="SL75" s="21"/>
      <c r="SM75" s="21"/>
      <c r="SN75" s="21"/>
      <c r="SO75" s="21"/>
      <c r="SP75" s="21"/>
      <c r="SQ75" s="21"/>
      <c r="SR75" s="21"/>
      <c r="SS75" s="21"/>
      <c r="ST75" s="21"/>
      <c r="SU75" s="21"/>
      <c r="SV75" s="21"/>
      <c r="SW75" s="21"/>
      <c r="SX75" s="21"/>
      <c r="SY75" s="21"/>
      <c r="SZ75" s="21"/>
      <c r="TA75" s="21"/>
      <c r="TB75" s="21"/>
      <c r="TC75" s="21"/>
      <c r="TD75" s="21"/>
      <c r="TE75" s="21"/>
      <c r="TF75" s="21"/>
      <c r="TG75" s="21"/>
      <c r="TH75" s="21"/>
      <c r="TI75" s="21"/>
      <c r="TJ75" s="21"/>
      <c r="TK75" s="21"/>
      <c r="TL75" s="21"/>
      <c r="TM75" s="21"/>
      <c r="TN75" s="21"/>
      <c r="TO75" s="21"/>
      <c r="TP75" s="21"/>
      <c r="TQ75" s="21"/>
      <c r="TR75" s="21"/>
      <c r="TS75" s="21"/>
      <c r="TT75" s="21"/>
      <c r="TU75" s="21"/>
      <c r="TV75" s="21"/>
      <c r="TW75" s="21"/>
      <c r="TX75" s="21"/>
      <c r="TY75" s="21"/>
      <c r="TZ75" s="21"/>
      <c r="UA75" s="21"/>
      <c r="UB75" s="21"/>
      <c r="UC75" s="21"/>
      <c r="UD75" s="21"/>
      <c r="UE75" s="21"/>
      <c r="UF75" s="21"/>
      <c r="UG75" s="21"/>
      <c r="UH75" s="21"/>
      <c r="UI75" s="21"/>
      <c r="UJ75" s="21"/>
      <c r="UK75" s="21"/>
      <c r="UL75" s="21"/>
      <c r="UM75" s="21"/>
      <c r="UN75" s="21"/>
      <c r="UO75" s="21"/>
      <c r="UP75" s="21"/>
      <c r="UQ75" s="21"/>
      <c r="UR75" s="21"/>
      <c r="US75" s="21"/>
      <c r="UT75" s="21"/>
      <c r="UU75" s="21"/>
      <c r="UV75" s="21"/>
      <c r="UW75" s="21"/>
      <c r="UX75" s="21"/>
      <c r="UY75" s="21"/>
      <c r="UZ75" s="21"/>
      <c r="VA75" s="21"/>
      <c r="VB75" s="21"/>
      <c r="VC75" s="21"/>
      <c r="VD75" s="21"/>
      <c r="VE75" s="21"/>
      <c r="VF75" s="21"/>
      <c r="VG75" s="21"/>
      <c r="VH75" s="21"/>
      <c r="VI75" s="21"/>
      <c r="VJ75" s="21"/>
      <c r="VK75" s="21"/>
      <c r="VL75" s="21"/>
      <c r="VM75" s="21"/>
      <c r="VN75" s="21"/>
      <c r="VO75" s="21"/>
      <c r="VP75" s="21"/>
      <c r="VQ75" s="21"/>
      <c r="VR75" s="21"/>
      <c r="VS75" s="21"/>
      <c r="VT75" s="21"/>
      <c r="VU75" s="21"/>
      <c r="VV75" s="21"/>
      <c r="VW75" s="21"/>
      <c r="VX75" s="21"/>
      <c r="VY75" s="21"/>
      <c r="VZ75" s="21"/>
      <c r="WA75" s="21"/>
      <c r="WB75" s="21"/>
      <c r="WC75" s="21"/>
      <c r="WD75" s="21"/>
      <c r="WE75" s="21"/>
      <c r="WF75" s="21"/>
      <c r="WG75" s="21"/>
      <c r="WH75" s="21"/>
      <c r="WI75" s="21"/>
      <c r="WJ75" s="21"/>
      <c r="WK75" s="21"/>
      <c r="WL75" s="21"/>
      <c r="WM75" s="21"/>
      <c r="WN75" s="21"/>
      <c r="WO75" s="21"/>
      <c r="WP75" s="21"/>
      <c r="WQ75" s="21"/>
      <c r="WR75" s="21"/>
      <c r="WS75" s="21"/>
      <c r="WT75" s="21"/>
      <c r="WU75" s="21"/>
      <c r="WV75" s="21"/>
      <c r="WW75" s="21"/>
      <c r="WX75" s="21"/>
      <c r="WY75" s="21"/>
      <c r="WZ75" s="21"/>
      <c r="XA75" s="21"/>
      <c r="XB75" s="21"/>
      <c r="XC75" s="21"/>
      <c r="XD75" s="21"/>
      <c r="XE75" s="21"/>
      <c r="XF75" s="21"/>
      <c r="XG75" s="21"/>
      <c r="XH75" s="21"/>
      <c r="XI75" s="21"/>
      <c r="XJ75" s="21"/>
      <c r="XK75" s="21"/>
      <c r="XL75" s="21"/>
      <c r="XM75" s="21"/>
      <c r="XN75" s="21"/>
      <c r="XO75" s="21"/>
      <c r="XP75" s="21"/>
      <c r="XQ75" s="21"/>
      <c r="XR75" s="21"/>
      <c r="XS75" s="21"/>
      <c r="XT75" s="21"/>
      <c r="XU75" s="21"/>
      <c r="XV75" s="21"/>
      <c r="XW75" s="21"/>
      <c r="XX75" s="21"/>
      <c r="XY75" s="21"/>
      <c r="XZ75" s="21"/>
      <c r="YA75" s="21"/>
      <c r="YB75" s="21"/>
      <c r="YC75" s="21"/>
      <c r="YD75" s="21"/>
      <c r="YE75" s="21"/>
      <c r="YF75" s="21"/>
      <c r="YG75" s="21"/>
      <c r="YH75" s="21"/>
      <c r="YI75" s="21"/>
      <c r="YJ75" s="21"/>
      <c r="YK75" s="21"/>
      <c r="YL75" s="21"/>
      <c r="YM75" s="21"/>
      <c r="YN75" s="21"/>
      <c r="YO75" s="21"/>
      <c r="YP75" s="21"/>
      <c r="YQ75" s="21"/>
      <c r="YR75" s="21"/>
      <c r="YS75" s="21"/>
      <c r="YT75" s="21"/>
      <c r="YU75" s="21"/>
      <c r="YV75" s="21"/>
      <c r="YW75" s="21"/>
      <c r="YX75" s="21"/>
      <c r="YY75" s="21"/>
      <c r="YZ75" s="21"/>
      <c r="ZA75" s="21"/>
      <c r="ZB75" s="21"/>
      <c r="ZC75" s="21"/>
      <c r="ZD75" s="21"/>
      <c r="ZE75" s="21"/>
      <c r="ZF75" s="21"/>
      <c r="ZG75" s="21"/>
      <c r="ZH75" s="21"/>
      <c r="ZI75" s="21"/>
      <c r="ZJ75" s="21"/>
      <c r="ZK75" s="21"/>
      <c r="ZL75" s="21"/>
      <c r="ZM75" s="21"/>
      <c r="ZN75" s="21"/>
      <c r="ZO75" s="21"/>
      <c r="ZP75" s="21"/>
      <c r="ZQ75" s="21"/>
      <c r="ZR75" s="21"/>
      <c r="ZS75" s="21"/>
      <c r="ZT75" s="21"/>
      <c r="ZU75" s="21"/>
      <c r="ZV75" s="21"/>
      <c r="ZW75" s="21"/>
      <c r="ZX75" s="21"/>
      <c r="ZY75" s="21"/>
      <c r="ZZ75" s="21"/>
      <c r="AAA75" s="21"/>
      <c r="AAB75" s="21"/>
      <c r="AAC75" s="21"/>
      <c r="AAD75" s="21"/>
      <c r="AAE75" s="21"/>
      <c r="AAF75" s="21"/>
      <c r="AAG75" s="21"/>
      <c r="AAH75" s="21"/>
      <c r="AAI75" s="21"/>
      <c r="AAJ75" s="21"/>
      <c r="AAK75" s="21"/>
      <c r="AAL75" s="21"/>
      <c r="AAM75" s="21"/>
      <c r="AAN75" s="21"/>
      <c r="AAO75" s="21"/>
      <c r="AAP75" s="21"/>
      <c r="AAQ75" s="21"/>
      <c r="AAR75" s="21"/>
      <c r="AAS75" s="21"/>
      <c r="AAT75" s="21"/>
      <c r="AAU75" s="21"/>
      <c r="AAV75" s="21"/>
      <c r="AAW75" s="21"/>
      <c r="AAX75" s="21"/>
      <c r="AAY75" s="21"/>
      <c r="AAZ75" s="21"/>
      <c r="ABA75" s="21"/>
      <c r="ABB75" s="21"/>
      <c r="ABC75" s="21"/>
      <c r="ABD75" s="21"/>
      <c r="ABE75" s="21"/>
      <c r="ABF75" s="21"/>
      <c r="ABG75" s="21"/>
      <c r="ABH75" s="21"/>
      <c r="ABI75" s="21"/>
      <c r="ABJ75" s="21"/>
      <c r="ABK75" s="21"/>
      <c r="ABL75" s="21"/>
      <c r="ABM75" s="21"/>
      <c r="ABN75" s="21"/>
      <c r="ABO75" s="21"/>
      <c r="ABP75" s="21"/>
      <c r="ABQ75" s="21"/>
      <c r="ABR75" s="21"/>
      <c r="ABS75" s="21"/>
      <c r="ABT75" s="21"/>
      <c r="ABU75" s="21"/>
      <c r="ABV75" s="21"/>
      <c r="ABW75" s="21"/>
      <c r="ABX75" s="21"/>
      <c r="ABY75" s="21"/>
      <c r="ABZ75" s="21"/>
      <c r="ACA75" s="21"/>
      <c r="ACB75" s="21"/>
      <c r="ACC75" s="21"/>
      <c r="ACD75" s="21"/>
      <c r="ACE75" s="21"/>
      <c r="ACF75" s="21"/>
      <c r="ACG75" s="21"/>
      <c r="ACH75" s="21"/>
      <c r="ACI75" s="21"/>
      <c r="ACJ75" s="21"/>
      <c r="ACK75" s="21"/>
      <c r="ACL75" s="21"/>
      <c r="ACM75" s="21"/>
      <c r="ACN75" s="21"/>
      <c r="ACO75" s="21"/>
      <c r="ACP75" s="21"/>
      <c r="ACQ75" s="21"/>
      <c r="ACR75" s="21"/>
      <c r="ACS75" s="21"/>
      <c r="ACT75" s="21"/>
      <c r="ACU75" s="21"/>
      <c r="ACV75" s="21"/>
      <c r="ACW75" s="21"/>
      <c r="ACX75" s="21"/>
      <c r="ACY75" s="21"/>
      <c r="ACZ75" s="21"/>
      <c r="ADA75" s="21"/>
      <c r="ADB75" s="21"/>
      <c r="ADC75" s="21"/>
      <c r="ADD75" s="21"/>
      <c r="ADE75" s="21"/>
      <c r="ADF75" s="21"/>
      <c r="ADG75" s="21"/>
      <c r="ADH75" s="21"/>
      <c r="ADI75" s="21"/>
      <c r="ADJ75" s="21"/>
      <c r="ADK75" s="21"/>
      <c r="ADL75" s="21"/>
      <c r="ADM75" s="21"/>
      <c r="ADN75" s="21"/>
      <c r="ADO75" s="21"/>
      <c r="ADP75" s="21"/>
      <c r="ADQ75" s="21"/>
      <c r="ADR75" s="21"/>
      <c r="ADS75" s="21"/>
      <c r="ADT75" s="21"/>
      <c r="ADU75" s="21"/>
      <c r="ADV75" s="21"/>
      <c r="ADW75" s="21"/>
      <c r="ADX75" s="21"/>
      <c r="ADY75" s="21"/>
      <c r="ADZ75" s="21"/>
      <c r="AEA75" s="21"/>
      <c r="AEB75" s="21"/>
      <c r="AEC75" s="21"/>
      <c r="AED75" s="21"/>
      <c r="AEE75" s="21"/>
      <c r="AEF75" s="21"/>
      <c r="AEG75" s="21"/>
    </row>
    <row r="76" spans="1:813" s="93" customFormat="1" ht="90" x14ac:dyDescent="0.25">
      <c r="A76" s="179"/>
      <c r="B76" s="81" t="s">
        <v>324</v>
      </c>
      <c r="C76" s="80" t="s">
        <v>351</v>
      </c>
      <c r="D76" s="63" t="s">
        <v>350</v>
      </c>
      <c r="E76" s="36" t="s">
        <v>349</v>
      </c>
      <c r="F76" s="63"/>
      <c r="G76" s="32"/>
      <c r="H76" s="32"/>
      <c r="I76" s="32"/>
      <c r="J76" s="32"/>
      <c r="K76" s="32"/>
      <c r="L76" s="32"/>
      <c r="M76" s="32"/>
      <c r="N76" s="32">
        <v>600</v>
      </c>
      <c r="O76" s="32"/>
      <c r="P76" s="32"/>
      <c r="Q76" s="32"/>
      <c r="R76" s="32">
        <v>50</v>
      </c>
      <c r="S76" s="32"/>
      <c r="T76" s="32">
        <v>400</v>
      </c>
      <c r="U76" s="32"/>
      <c r="V76" s="32">
        <v>285</v>
      </c>
      <c r="W76" s="32"/>
      <c r="X76" s="32"/>
      <c r="Y76" s="32"/>
      <c r="Z76" s="32"/>
      <c r="AA76" s="32"/>
      <c r="AB76" s="32"/>
      <c r="AC76" s="32"/>
      <c r="AD76" s="32">
        <v>70</v>
      </c>
      <c r="AE76" s="32"/>
      <c r="AF76" s="32">
        <f t="shared" si="21"/>
        <v>1405</v>
      </c>
      <c r="AG76" s="32"/>
      <c r="AH76" s="32"/>
      <c r="AI76" s="32">
        <v>40</v>
      </c>
      <c r="AJ76" s="31">
        <v>83991.590791838476</v>
      </c>
      <c r="AK76" s="31">
        <v>6841.6832717909665</v>
      </c>
      <c r="AL76" s="31">
        <v>90833.274063629447</v>
      </c>
      <c r="AM76" s="30" t="s">
        <v>18</v>
      </c>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c r="IH76" s="21"/>
      <c r="II76" s="21"/>
      <c r="IJ76" s="21"/>
      <c r="IK76" s="21"/>
      <c r="IL76" s="21"/>
      <c r="IM76" s="21"/>
      <c r="IN76" s="21"/>
      <c r="IO76" s="21"/>
      <c r="IP76" s="21"/>
      <c r="IQ76" s="21"/>
      <c r="IR76" s="21"/>
      <c r="IS76" s="21"/>
      <c r="IT76" s="21"/>
      <c r="IU76" s="21"/>
      <c r="IV76" s="21"/>
      <c r="IW76" s="21"/>
      <c r="IX76" s="21"/>
      <c r="IY76" s="21"/>
      <c r="IZ76" s="21"/>
      <c r="JA76" s="21"/>
      <c r="JB76" s="21"/>
      <c r="JC76" s="21"/>
      <c r="JD76" s="21"/>
      <c r="JE76" s="21"/>
      <c r="JF76" s="21"/>
      <c r="JG76" s="21"/>
      <c r="JH76" s="21"/>
      <c r="JI76" s="21"/>
      <c r="JJ76" s="21"/>
      <c r="JK76" s="21"/>
      <c r="JL76" s="21"/>
      <c r="JM76" s="21"/>
      <c r="JN76" s="21"/>
      <c r="JO76" s="21"/>
      <c r="JP76" s="21"/>
      <c r="JQ76" s="21"/>
      <c r="JR76" s="21"/>
      <c r="JS76" s="21"/>
      <c r="JT76" s="21"/>
      <c r="JU76" s="21"/>
      <c r="JV76" s="21"/>
      <c r="JW76" s="21"/>
      <c r="JX76" s="21"/>
      <c r="JY76" s="21"/>
      <c r="JZ76" s="21"/>
      <c r="KA76" s="21"/>
      <c r="KB76" s="21"/>
      <c r="KC76" s="21"/>
      <c r="KD76" s="21"/>
      <c r="KE76" s="21"/>
      <c r="KF76" s="21"/>
      <c r="KG76" s="21"/>
      <c r="KH76" s="21"/>
      <c r="KI76" s="21"/>
      <c r="KJ76" s="21"/>
      <c r="KK76" s="21"/>
      <c r="KL76" s="21"/>
      <c r="KM76" s="21"/>
      <c r="KN76" s="21"/>
      <c r="KO76" s="21"/>
      <c r="KP76" s="21"/>
      <c r="KQ76" s="21"/>
      <c r="KR76" s="21"/>
      <c r="KS76" s="21"/>
      <c r="KT76" s="21"/>
      <c r="KU76" s="21"/>
      <c r="KV76" s="21"/>
      <c r="KW76" s="21"/>
      <c r="KX76" s="21"/>
      <c r="KY76" s="21"/>
      <c r="KZ76" s="21"/>
      <c r="LA76" s="21"/>
      <c r="LB76" s="21"/>
      <c r="LC76" s="21"/>
      <c r="LD76" s="21"/>
      <c r="LE76" s="21"/>
      <c r="LF76" s="21"/>
      <c r="LG76" s="21"/>
      <c r="LH76" s="21"/>
      <c r="LI76" s="21"/>
      <c r="LJ76" s="21"/>
      <c r="LK76" s="21"/>
      <c r="LL76" s="21"/>
      <c r="LM76" s="21"/>
      <c r="LN76" s="21"/>
      <c r="LO76" s="21"/>
      <c r="LP76" s="21"/>
      <c r="LQ76" s="21"/>
      <c r="LR76" s="21"/>
      <c r="LS76" s="21"/>
      <c r="LT76" s="21"/>
      <c r="LU76" s="21"/>
      <c r="LV76" s="21"/>
      <c r="LW76" s="21"/>
      <c r="LX76" s="21"/>
      <c r="LY76" s="21"/>
      <c r="LZ76" s="21"/>
      <c r="MA76" s="21"/>
      <c r="MB76" s="21"/>
      <c r="MC76" s="21"/>
      <c r="MD76" s="21"/>
      <c r="ME76" s="21"/>
      <c r="MF76" s="21"/>
      <c r="MG76" s="21"/>
      <c r="MH76" s="21"/>
      <c r="MI76" s="21"/>
      <c r="MJ76" s="21"/>
      <c r="MK76" s="21"/>
      <c r="ML76" s="21"/>
      <c r="MM76" s="21"/>
      <c r="MN76" s="21"/>
      <c r="MO76" s="21"/>
      <c r="MP76" s="21"/>
      <c r="MQ76" s="21"/>
      <c r="MR76" s="21"/>
      <c r="MS76" s="21"/>
      <c r="MT76" s="21"/>
      <c r="MU76" s="21"/>
      <c r="MV76" s="21"/>
      <c r="MW76" s="21"/>
      <c r="MX76" s="21"/>
      <c r="MY76" s="21"/>
      <c r="MZ76" s="21"/>
      <c r="NA76" s="21"/>
      <c r="NB76" s="21"/>
      <c r="NC76" s="21"/>
      <c r="ND76" s="21"/>
      <c r="NE76" s="21"/>
      <c r="NF76" s="21"/>
      <c r="NG76" s="21"/>
      <c r="NH76" s="21"/>
      <c r="NI76" s="21"/>
      <c r="NJ76" s="21"/>
      <c r="NK76" s="21"/>
      <c r="NL76" s="21"/>
      <c r="NM76" s="21"/>
      <c r="NN76" s="21"/>
      <c r="NO76" s="21"/>
      <c r="NP76" s="21"/>
      <c r="NQ76" s="21"/>
      <c r="NR76" s="21"/>
      <c r="NS76" s="21"/>
      <c r="NT76" s="21"/>
      <c r="NU76" s="21"/>
      <c r="NV76" s="21"/>
      <c r="NW76" s="21"/>
      <c r="NX76" s="21"/>
      <c r="NY76" s="21"/>
      <c r="NZ76" s="21"/>
      <c r="OA76" s="21"/>
      <c r="OB76" s="21"/>
      <c r="OC76" s="21"/>
      <c r="OD76" s="21"/>
      <c r="OE76" s="21"/>
      <c r="OF76" s="21"/>
      <c r="OG76" s="21"/>
      <c r="OH76" s="21"/>
      <c r="OI76" s="21"/>
      <c r="OJ76" s="21"/>
      <c r="OK76" s="21"/>
      <c r="OL76" s="21"/>
      <c r="OM76" s="21"/>
      <c r="ON76" s="21"/>
      <c r="OO76" s="21"/>
      <c r="OP76" s="21"/>
      <c r="OQ76" s="21"/>
      <c r="OR76" s="21"/>
      <c r="OS76" s="21"/>
      <c r="OT76" s="21"/>
      <c r="OU76" s="21"/>
      <c r="OV76" s="21"/>
      <c r="OW76" s="21"/>
      <c r="OX76" s="21"/>
      <c r="OY76" s="21"/>
      <c r="OZ76" s="21"/>
      <c r="PA76" s="21"/>
      <c r="PB76" s="21"/>
      <c r="PC76" s="21"/>
      <c r="PD76" s="21"/>
      <c r="PE76" s="21"/>
      <c r="PF76" s="21"/>
      <c r="PG76" s="21"/>
      <c r="PH76" s="21"/>
      <c r="PI76" s="21"/>
      <c r="PJ76" s="21"/>
      <c r="PK76" s="21"/>
      <c r="PL76" s="21"/>
      <c r="PM76" s="21"/>
      <c r="PN76" s="21"/>
      <c r="PO76" s="21"/>
      <c r="PP76" s="21"/>
      <c r="PQ76" s="21"/>
      <c r="PR76" s="21"/>
      <c r="PS76" s="21"/>
      <c r="PT76" s="21"/>
      <c r="PU76" s="21"/>
      <c r="PV76" s="21"/>
      <c r="PW76" s="21"/>
      <c r="PX76" s="21"/>
      <c r="PY76" s="21"/>
      <c r="PZ76" s="21"/>
      <c r="QA76" s="21"/>
      <c r="QB76" s="21"/>
      <c r="QC76" s="21"/>
      <c r="QD76" s="21"/>
      <c r="QE76" s="21"/>
      <c r="QF76" s="21"/>
      <c r="QG76" s="21"/>
      <c r="QH76" s="21"/>
      <c r="QI76" s="21"/>
      <c r="QJ76" s="21"/>
      <c r="QK76" s="21"/>
      <c r="QL76" s="21"/>
      <c r="QM76" s="21"/>
      <c r="QN76" s="21"/>
      <c r="QO76" s="21"/>
      <c r="QP76" s="21"/>
      <c r="QQ76" s="21"/>
      <c r="QR76" s="21"/>
      <c r="QS76" s="21"/>
      <c r="QT76" s="21"/>
      <c r="QU76" s="21"/>
      <c r="QV76" s="21"/>
      <c r="QW76" s="21"/>
      <c r="QX76" s="21"/>
      <c r="QY76" s="21"/>
      <c r="QZ76" s="21"/>
      <c r="RA76" s="21"/>
      <c r="RB76" s="21"/>
      <c r="RC76" s="21"/>
      <c r="RD76" s="21"/>
      <c r="RE76" s="21"/>
      <c r="RF76" s="21"/>
      <c r="RG76" s="21"/>
      <c r="RH76" s="21"/>
      <c r="RI76" s="21"/>
      <c r="RJ76" s="21"/>
      <c r="RK76" s="21"/>
      <c r="RL76" s="21"/>
      <c r="RM76" s="21"/>
      <c r="RN76" s="21"/>
      <c r="RO76" s="21"/>
      <c r="RP76" s="21"/>
      <c r="RQ76" s="21"/>
      <c r="RR76" s="21"/>
      <c r="RS76" s="21"/>
      <c r="RT76" s="21"/>
      <c r="RU76" s="21"/>
      <c r="RV76" s="21"/>
      <c r="RW76" s="21"/>
      <c r="RX76" s="21"/>
      <c r="RY76" s="21"/>
      <c r="RZ76" s="21"/>
      <c r="SA76" s="21"/>
      <c r="SB76" s="21"/>
      <c r="SC76" s="21"/>
      <c r="SD76" s="21"/>
      <c r="SE76" s="21"/>
      <c r="SF76" s="21"/>
      <c r="SG76" s="21"/>
      <c r="SH76" s="21"/>
      <c r="SI76" s="21"/>
      <c r="SJ76" s="21"/>
      <c r="SK76" s="21"/>
      <c r="SL76" s="21"/>
      <c r="SM76" s="21"/>
      <c r="SN76" s="21"/>
      <c r="SO76" s="21"/>
      <c r="SP76" s="21"/>
      <c r="SQ76" s="21"/>
      <c r="SR76" s="21"/>
      <c r="SS76" s="21"/>
      <c r="ST76" s="21"/>
      <c r="SU76" s="21"/>
      <c r="SV76" s="21"/>
      <c r="SW76" s="21"/>
      <c r="SX76" s="21"/>
      <c r="SY76" s="21"/>
      <c r="SZ76" s="21"/>
      <c r="TA76" s="21"/>
      <c r="TB76" s="21"/>
      <c r="TC76" s="21"/>
      <c r="TD76" s="21"/>
      <c r="TE76" s="21"/>
      <c r="TF76" s="21"/>
      <c r="TG76" s="21"/>
      <c r="TH76" s="21"/>
      <c r="TI76" s="21"/>
      <c r="TJ76" s="21"/>
      <c r="TK76" s="21"/>
      <c r="TL76" s="21"/>
      <c r="TM76" s="21"/>
      <c r="TN76" s="21"/>
      <c r="TO76" s="21"/>
      <c r="TP76" s="21"/>
      <c r="TQ76" s="21"/>
      <c r="TR76" s="21"/>
      <c r="TS76" s="21"/>
      <c r="TT76" s="21"/>
      <c r="TU76" s="21"/>
      <c r="TV76" s="21"/>
      <c r="TW76" s="21"/>
      <c r="TX76" s="21"/>
      <c r="TY76" s="21"/>
      <c r="TZ76" s="21"/>
      <c r="UA76" s="21"/>
      <c r="UB76" s="21"/>
      <c r="UC76" s="21"/>
      <c r="UD76" s="21"/>
      <c r="UE76" s="21"/>
      <c r="UF76" s="21"/>
      <c r="UG76" s="21"/>
      <c r="UH76" s="21"/>
      <c r="UI76" s="21"/>
      <c r="UJ76" s="21"/>
      <c r="UK76" s="21"/>
      <c r="UL76" s="21"/>
      <c r="UM76" s="21"/>
      <c r="UN76" s="21"/>
      <c r="UO76" s="21"/>
      <c r="UP76" s="21"/>
      <c r="UQ76" s="21"/>
      <c r="UR76" s="21"/>
      <c r="US76" s="21"/>
      <c r="UT76" s="21"/>
      <c r="UU76" s="21"/>
      <c r="UV76" s="21"/>
      <c r="UW76" s="21"/>
      <c r="UX76" s="21"/>
      <c r="UY76" s="21"/>
      <c r="UZ76" s="21"/>
      <c r="VA76" s="21"/>
      <c r="VB76" s="21"/>
      <c r="VC76" s="21"/>
      <c r="VD76" s="21"/>
      <c r="VE76" s="21"/>
      <c r="VF76" s="21"/>
      <c r="VG76" s="21"/>
      <c r="VH76" s="21"/>
      <c r="VI76" s="21"/>
      <c r="VJ76" s="21"/>
      <c r="VK76" s="21"/>
      <c r="VL76" s="21"/>
      <c r="VM76" s="21"/>
      <c r="VN76" s="21"/>
      <c r="VO76" s="21"/>
      <c r="VP76" s="21"/>
      <c r="VQ76" s="21"/>
      <c r="VR76" s="21"/>
      <c r="VS76" s="21"/>
      <c r="VT76" s="21"/>
      <c r="VU76" s="21"/>
      <c r="VV76" s="21"/>
      <c r="VW76" s="21"/>
      <c r="VX76" s="21"/>
      <c r="VY76" s="21"/>
      <c r="VZ76" s="21"/>
      <c r="WA76" s="21"/>
      <c r="WB76" s="21"/>
      <c r="WC76" s="21"/>
      <c r="WD76" s="21"/>
      <c r="WE76" s="21"/>
      <c r="WF76" s="21"/>
      <c r="WG76" s="21"/>
      <c r="WH76" s="21"/>
      <c r="WI76" s="21"/>
      <c r="WJ76" s="21"/>
      <c r="WK76" s="21"/>
      <c r="WL76" s="21"/>
      <c r="WM76" s="21"/>
      <c r="WN76" s="21"/>
      <c r="WO76" s="21"/>
      <c r="WP76" s="21"/>
      <c r="WQ76" s="21"/>
      <c r="WR76" s="21"/>
      <c r="WS76" s="21"/>
      <c r="WT76" s="21"/>
      <c r="WU76" s="21"/>
      <c r="WV76" s="21"/>
      <c r="WW76" s="21"/>
      <c r="WX76" s="21"/>
      <c r="WY76" s="21"/>
      <c r="WZ76" s="21"/>
      <c r="XA76" s="21"/>
      <c r="XB76" s="21"/>
      <c r="XC76" s="21"/>
      <c r="XD76" s="21"/>
      <c r="XE76" s="21"/>
      <c r="XF76" s="21"/>
      <c r="XG76" s="21"/>
      <c r="XH76" s="21"/>
      <c r="XI76" s="21"/>
      <c r="XJ76" s="21"/>
      <c r="XK76" s="21"/>
      <c r="XL76" s="21"/>
      <c r="XM76" s="21"/>
      <c r="XN76" s="21"/>
      <c r="XO76" s="21"/>
      <c r="XP76" s="21"/>
      <c r="XQ76" s="21"/>
      <c r="XR76" s="21"/>
      <c r="XS76" s="21"/>
      <c r="XT76" s="21"/>
      <c r="XU76" s="21"/>
      <c r="XV76" s="21"/>
      <c r="XW76" s="21"/>
      <c r="XX76" s="21"/>
      <c r="XY76" s="21"/>
      <c r="XZ76" s="21"/>
      <c r="YA76" s="21"/>
      <c r="YB76" s="21"/>
      <c r="YC76" s="21"/>
      <c r="YD76" s="21"/>
      <c r="YE76" s="21"/>
      <c r="YF76" s="21"/>
      <c r="YG76" s="21"/>
      <c r="YH76" s="21"/>
      <c r="YI76" s="21"/>
      <c r="YJ76" s="21"/>
      <c r="YK76" s="21"/>
      <c r="YL76" s="21"/>
      <c r="YM76" s="21"/>
      <c r="YN76" s="21"/>
      <c r="YO76" s="21"/>
      <c r="YP76" s="21"/>
      <c r="YQ76" s="21"/>
      <c r="YR76" s="21"/>
      <c r="YS76" s="21"/>
      <c r="YT76" s="21"/>
      <c r="YU76" s="21"/>
      <c r="YV76" s="21"/>
      <c r="YW76" s="21"/>
      <c r="YX76" s="21"/>
      <c r="YY76" s="21"/>
      <c r="YZ76" s="21"/>
      <c r="ZA76" s="21"/>
      <c r="ZB76" s="21"/>
      <c r="ZC76" s="21"/>
      <c r="ZD76" s="21"/>
      <c r="ZE76" s="21"/>
      <c r="ZF76" s="21"/>
      <c r="ZG76" s="21"/>
      <c r="ZH76" s="21"/>
      <c r="ZI76" s="21"/>
      <c r="ZJ76" s="21"/>
      <c r="ZK76" s="21"/>
      <c r="ZL76" s="21"/>
      <c r="ZM76" s="21"/>
      <c r="ZN76" s="21"/>
      <c r="ZO76" s="21"/>
      <c r="ZP76" s="21"/>
      <c r="ZQ76" s="21"/>
      <c r="ZR76" s="21"/>
      <c r="ZS76" s="21"/>
      <c r="ZT76" s="21"/>
      <c r="ZU76" s="21"/>
      <c r="ZV76" s="21"/>
      <c r="ZW76" s="21"/>
      <c r="ZX76" s="21"/>
      <c r="ZY76" s="21"/>
      <c r="ZZ76" s="21"/>
      <c r="AAA76" s="21"/>
      <c r="AAB76" s="21"/>
      <c r="AAC76" s="21"/>
      <c r="AAD76" s="21"/>
      <c r="AAE76" s="21"/>
      <c r="AAF76" s="21"/>
      <c r="AAG76" s="21"/>
      <c r="AAH76" s="21"/>
      <c r="AAI76" s="21"/>
      <c r="AAJ76" s="21"/>
      <c r="AAK76" s="21"/>
      <c r="AAL76" s="21"/>
      <c r="AAM76" s="21"/>
      <c r="AAN76" s="21"/>
      <c r="AAO76" s="21"/>
      <c r="AAP76" s="21"/>
      <c r="AAQ76" s="21"/>
      <c r="AAR76" s="21"/>
      <c r="AAS76" s="21"/>
      <c r="AAT76" s="21"/>
      <c r="AAU76" s="21"/>
      <c r="AAV76" s="21"/>
      <c r="AAW76" s="21"/>
      <c r="AAX76" s="21"/>
      <c r="AAY76" s="21"/>
      <c r="AAZ76" s="21"/>
      <c r="ABA76" s="21"/>
      <c r="ABB76" s="21"/>
      <c r="ABC76" s="21"/>
      <c r="ABD76" s="21"/>
      <c r="ABE76" s="21"/>
      <c r="ABF76" s="21"/>
      <c r="ABG76" s="21"/>
      <c r="ABH76" s="21"/>
      <c r="ABI76" s="21"/>
      <c r="ABJ76" s="21"/>
      <c r="ABK76" s="21"/>
      <c r="ABL76" s="21"/>
      <c r="ABM76" s="21"/>
      <c r="ABN76" s="21"/>
      <c r="ABO76" s="21"/>
      <c r="ABP76" s="21"/>
      <c r="ABQ76" s="21"/>
      <c r="ABR76" s="21"/>
      <c r="ABS76" s="21"/>
      <c r="ABT76" s="21"/>
      <c r="ABU76" s="21"/>
      <c r="ABV76" s="21"/>
      <c r="ABW76" s="21"/>
      <c r="ABX76" s="21"/>
      <c r="ABY76" s="21"/>
      <c r="ABZ76" s="21"/>
      <c r="ACA76" s="21"/>
      <c r="ACB76" s="21"/>
      <c r="ACC76" s="21"/>
      <c r="ACD76" s="21"/>
      <c r="ACE76" s="21"/>
      <c r="ACF76" s="21"/>
      <c r="ACG76" s="21"/>
      <c r="ACH76" s="21"/>
      <c r="ACI76" s="21"/>
      <c r="ACJ76" s="21"/>
      <c r="ACK76" s="21"/>
      <c r="ACL76" s="21"/>
      <c r="ACM76" s="21"/>
      <c r="ACN76" s="21"/>
      <c r="ACO76" s="21"/>
      <c r="ACP76" s="21"/>
      <c r="ACQ76" s="21"/>
      <c r="ACR76" s="21"/>
      <c r="ACS76" s="21"/>
      <c r="ACT76" s="21"/>
      <c r="ACU76" s="21"/>
      <c r="ACV76" s="21"/>
      <c r="ACW76" s="21"/>
      <c r="ACX76" s="21"/>
      <c r="ACY76" s="21"/>
      <c r="ACZ76" s="21"/>
      <c r="ADA76" s="21"/>
      <c r="ADB76" s="21"/>
      <c r="ADC76" s="21"/>
      <c r="ADD76" s="21"/>
      <c r="ADE76" s="21"/>
      <c r="ADF76" s="21"/>
      <c r="ADG76" s="21"/>
      <c r="ADH76" s="21"/>
      <c r="ADI76" s="21"/>
      <c r="ADJ76" s="21"/>
      <c r="ADK76" s="21"/>
      <c r="ADL76" s="21"/>
      <c r="ADM76" s="21"/>
      <c r="ADN76" s="21"/>
      <c r="ADO76" s="21"/>
      <c r="ADP76" s="21"/>
      <c r="ADQ76" s="21"/>
      <c r="ADR76" s="21"/>
      <c r="ADS76" s="21"/>
      <c r="ADT76" s="21"/>
      <c r="ADU76" s="21"/>
      <c r="ADV76" s="21"/>
      <c r="ADW76" s="21"/>
      <c r="ADX76" s="21"/>
      <c r="ADY76" s="21"/>
      <c r="ADZ76" s="21"/>
      <c r="AEA76" s="21"/>
      <c r="AEB76" s="21"/>
      <c r="AEC76" s="21"/>
      <c r="AED76" s="21"/>
      <c r="AEE76" s="21"/>
      <c r="AEF76" s="21"/>
      <c r="AEG76" s="21"/>
    </row>
    <row r="77" spans="1:813" s="93" customFormat="1" ht="105" x14ac:dyDescent="0.25">
      <c r="A77" s="179"/>
      <c r="B77" s="81" t="s">
        <v>324</v>
      </c>
      <c r="C77" s="80" t="s">
        <v>348</v>
      </c>
      <c r="D77" s="63" t="s">
        <v>347</v>
      </c>
      <c r="E77" s="36" t="s">
        <v>346</v>
      </c>
      <c r="F77" s="63"/>
      <c r="G77" s="32"/>
      <c r="H77" s="32">
        <v>5</v>
      </c>
      <c r="I77" s="32"/>
      <c r="J77" s="32">
        <v>265</v>
      </c>
      <c r="K77" s="32"/>
      <c r="L77" s="32"/>
      <c r="M77" s="32"/>
      <c r="N77" s="32">
        <v>315</v>
      </c>
      <c r="O77" s="32"/>
      <c r="P77" s="32">
        <v>25</v>
      </c>
      <c r="Q77" s="32"/>
      <c r="R77" s="32"/>
      <c r="S77" s="32"/>
      <c r="T77" s="32">
        <v>185</v>
      </c>
      <c r="U77" s="32"/>
      <c r="V77" s="32"/>
      <c r="W77" s="32"/>
      <c r="X77" s="32">
        <v>55</v>
      </c>
      <c r="Y77" s="32"/>
      <c r="Z77" s="32">
        <v>25</v>
      </c>
      <c r="AA77" s="32"/>
      <c r="AB77" s="32">
        <v>50</v>
      </c>
      <c r="AC77" s="32"/>
      <c r="AD77" s="32"/>
      <c r="AE77" s="32"/>
      <c r="AF77" s="32">
        <f t="shared" si="21"/>
        <v>925</v>
      </c>
      <c r="AG77" s="32"/>
      <c r="AH77" s="32"/>
      <c r="AI77" s="32">
        <v>5</v>
      </c>
      <c r="AJ77" s="31">
        <v>54400.651116348723</v>
      </c>
      <c r="AK77" s="31">
        <v>4431.3010529790536</v>
      </c>
      <c r="AL77" s="31">
        <v>58831.952169327778</v>
      </c>
      <c r="AM77" s="30" t="s">
        <v>18</v>
      </c>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c r="GQ77" s="21"/>
      <c r="GR77" s="21"/>
      <c r="GS77" s="21"/>
      <c r="GT77" s="21"/>
      <c r="GU77" s="21"/>
      <c r="GV77" s="21"/>
      <c r="GW77" s="21"/>
      <c r="GX77" s="21"/>
      <c r="GY77" s="21"/>
      <c r="GZ77" s="21"/>
      <c r="HA77" s="21"/>
      <c r="HB77" s="21"/>
      <c r="HC77" s="21"/>
      <c r="HD77" s="21"/>
      <c r="HE77" s="21"/>
      <c r="HF77" s="21"/>
      <c r="HG77" s="21"/>
      <c r="HH77" s="21"/>
      <c r="HI77" s="21"/>
      <c r="HJ77" s="21"/>
      <c r="HK77" s="21"/>
      <c r="HL77" s="21"/>
      <c r="HM77" s="21"/>
      <c r="HN77" s="21"/>
      <c r="HO77" s="21"/>
      <c r="HP77" s="21"/>
      <c r="HQ77" s="21"/>
      <c r="HR77" s="21"/>
      <c r="HS77" s="21"/>
      <c r="HT77" s="21"/>
      <c r="HU77" s="21"/>
      <c r="HV77" s="21"/>
      <c r="HW77" s="21"/>
      <c r="HX77" s="21"/>
      <c r="HY77" s="21"/>
      <c r="HZ77" s="21"/>
      <c r="IA77" s="21"/>
      <c r="IB77" s="21"/>
      <c r="IC77" s="21"/>
      <c r="ID77" s="21"/>
      <c r="IE77" s="21"/>
      <c r="IF77" s="21"/>
      <c r="IG77" s="21"/>
      <c r="IH77" s="21"/>
      <c r="II77" s="21"/>
      <c r="IJ77" s="21"/>
      <c r="IK77" s="21"/>
      <c r="IL77" s="21"/>
      <c r="IM77" s="21"/>
      <c r="IN77" s="21"/>
      <c r="IO77" s="21"/>
      <c r="IP77" s="21"/>
      <c r="IQ77" s="21"/>
      <c r="IR77" s="21"/>
      <c r="IS77" s="21"/>
      <c r="IT77" s="21"/>
      <c r="IU77" s="21"/>
      <c r="IV77" s="21"/>
      <c r="IW77" s="21"/>
      <c r="IX77" s="21"/>
      <c r="IY77" s="21"/>
      <c r="IZ77" s="21"/>
      <c r="JA77" s="21"/>
      <c r="JB77" s="21"/>
      <c r="JC77" s="21"/>
      <c r="JD77" s="21"/>
      <c r="JE77" s="21"/>
      <c r="JF77" s="21"/>
      <c r="JG77" s="21"/>
      <c r="JH77" s="21"/>
      <c r="JI77" s="21"/>
      <c r="JJ77" s="21"/>
      <c r="JK77" s="21"/>
      <c r="JL77" s="21"/>
      <c r="JM77" s="21"/>
      <c r="JN77" s="21"/>
      <c r="JO77" s="21"/>
      <c r="JP77" s="21"/>
      <c r="JQ77" s="21"/>
      <c r="JR77" s="21"/>
      <c r="JS77" s="21"/>
      <c r="JT77" s="21"/>
      <c r="JU77" s="21"/>
      <c r="JV77" s="21"/>
      <c r="JW77" s="21"/>
      <c r="JX77" s="21"/>
      <c r="JY77" s="21"/>
      <c r="JZ77" s="21"/>
      <c r="KA77" s="21"/>
      <c r="KB77" s="21"/>
      <c r="KC77" s="21"/>
      <c r="KD77" s="21"/>
      <c r="KE77" s="21"/>
      <c r="KF77" s="21"/>
      <c r="KG77" s="21"/>
      <c r="KH77" s="21"/>
      <c r="KI77" s="21"/>
      <c r="KJ77" s="21"/>
      <c r="KK77" s="21"/>
      <c r="KL77" s="21"/>
      <c r="KM77" s="21"/>
      <c r="KN77" s="21"/>
      <c r="KO77" s="21"/>
      <c r="KP77" s="21"/>
      <c r="KQ77" s="21"/>
      <c r="KR77" s="21"/>
      <c r="KS77" s="21"/>
      <c r="KT77" s="21"/>
      <c r="KU77" s="21"/>
      <c r="KV77" s="21"/>
      <c r="KW77" s="21"/>
      <c r="KX77" s="21"/>
      <c r="KY77" s="21"/>
      <c r="KZ77" s="21"/>
      <c r="LA77" s="21"/>
      <c r="LB77" s="21"/>
      <c r="LC77" s="21"/>
      <c r="LD77" s="21"/>
      <c r="LE77" s="21"/>
      <c r="LF77" s="21"/>
      <c r="LG77" s="21"/>
      <c r="LH77" s="21"/>
      <c r="LI77" s="21"/>
      <c r="LJ77" s="21"/>
      <c r="LK77" s="21"/>
      <c r="LL77" s="21"/>
      <c r="LM77" s="21"/>
      <c r="LN77" s="21"/>
      <c r="LO77" s="21"/>
      <c r="LP77" s="21"/>
      <c r="LQ77" s="21"/>
      <c r="LR77" s="21"/>
      <c r="LS77" s="21"/>
      <c r="LT77" s="21"/>
      <c r="LU77" s="21"/>
      <c r="LV77" s="21"/>
      <c r="LW77" s="21"/>
      <c r="LX77" s="21"/>
      <c r="LY77" s="21"/>
      <c r="LZ77" s="21"/>
      <c r="MA77" s="21"/>
      <c r="MB77" s="21"/>
      <c r="MC77" s="21"/>
      <c r="MD77" s="21"/>
      <c r="ME77" s="21"/>
      <c r="MF77" s="21"/>
      <c r="MG77" s="21"/>
      <c r="MH77" s="21"/>
      <c r="MI77" s="21"/>
      <c r="MJ77" s="21"/>
      <c r="MK77" s="21"/>
      <c r="ML77" s="21"/>
      <c r="MM77" s="21"/>
      <c r="MN77" s="21"/>
      <c r="MO77" s="21"/>
      <c r="MP77" s="21"/>
      <c r="MQ77" s="21"/>
      <c r="MR77" s="21"/>
      <c r="MS77" s="21"/>
      <c r="MT77" s="21"/>
      <c r="MU77" s="21"/>
      <c r="MV77" s="21"/>
      <c r="MW77" s="21"/>
      <c r="MX77" s="21"/>
      <c r="MY77" s="21"/>
      <c r="MZ77" s="21"/>
      <c r="NA77" s="21"/>
      <c r="NB77" s="21"/>
      <c r="NC77" s="21"/>
      <c r="ND77" s="21"/>
      <c r="NE77" s="21"/>
      <c r="NF77" s="21"/>
      <c r="NG77" s="21"/>
      <c r="NH77" s="21"/>
      <c r="NI77" s="21"/>
      <c r="NJ77" s="21"/>
      <c r="NK77" s="21"/>
      <c r="NL77" s="21"/>
      <c r="NM77" s="21"/>
      <c r="NN77" s="21"/>
      <c r="NO77" s="21"/>
      <c r="NP77" s="21"/>
      <c r="NQ77" s="21"/>
      <c r="NR77" s="21"/>
      <c r="NS77" s="21"/>
      <c r="NT77" s="21"/>
      <c r="NU77" s="21"/>
      <c r="NV77" s="21"/>
      <c r="NW77" s="21"/>
      <c r="NX77" s="21"/>
      <c r="NY77" s="21"/>
      <c r="NZ77" s="21"/>
      <c r="OA77" s="21"/>
      <c r="OB77" s="21"/>
      <c r="OC77" s="21"/>
      <c r="OD77" s="21"/>
      <c r="OE77" s="21"/>
      <c r="OF77" s="21"/>
      <c r="OG77" s="21"/>
      <c r="OH77" s="21"/>
      <c r="OI77" s="21"/>
      <c r="OJ77" s="21"/>
      <c r="OK77" s="21"/>
      <c r="OL77" s="21"/>
      <c r="OM77" s="21"/>
      <c r="ON77" s="21"/>
      <c r="OO77" s="21"/>
      <c r="OP77" s="21"/>
      <c r="OQ77" s="21"/>
      <c r="OR77" s="21"/>
      <c r="OS77" s="21"/>
      <c r="OT77" s="21"/>
      <c r="OU77" s="21"/>
      <c r="OV77" s="21"/>
      <c r="OW77" s="21"/>
      <c r="OX77" s="21"/>
      <c r="OY77" s="21"/>
      <c r="OZ77" s="21"/>
      <c r="PA77" s="21"/>
      <c r="PB77" s="21"/>
      <c r="PC77" s="21"/>
      <c r="PD77" s="21"/>
      <c r="PE77" s="21"/>
      <c r="PF77" s="21"/>
      <c r="PG77" s="21"/>
      <c r="PH77" s="21"/>
      <c r="PI77" s="21"/>
      <c r="PJ77" s="21"/>
      <c r="PK77" s="21"/>
      <c r="PL77" s="21"/>
      <c r="PM77" s="21"/>
      <c r="PN77" s="21"/>
      <c r="PO77" s="21"/>
      <c r="PP77" s="21"/>
      <c r="PQ77" s="21"/>
      <c r="PR77" s="21"/>
      <c r="PS77" s="21"/>
      <c r="PT77" s="21"/>
      <c r="PU77" s="21"/>
      <c r="PV77" s="21"/>
      <c r="PW77" s="21"/>
      <c r="PX77" s="21"/>
      <c r="PY77" s="21"/>
      <c r="PZ77" s="21"/>
      <c r="QA77" s="21"/>
      <c r="QB77" s="21"/>
      <c r="QC77" s="21"/>
      <c r="QD77" s="21"/>
      <c r="QE77" s="21"/>
      <c r="QF77" s="21"/>
      <c r="QG77" s="21"/>
      <c r="QH77" s="21"/>
      <c r="QI77" s="21"/>
      <c r="QJ77" s="21"/>
      <c r="QK77" s="21"/>
      <c r="QL77" s="21"/>
      <c r="QM77" s="21"/>
      <c r="QN77" s="21"/>
      <c r="QO77" s="21"/>
      <c r="QP77" s="21"/>
      <c r="QQ77" s="21"/>
      <c r="QR77" s="21"/>
      <c r="QS77" s="21"/>
      <c r="QT77" s="21"/>
      <c r="QU77" s="21"/>
      <c r="QV77" s="21"/>
      <c r="QW77" s="21"/>
      <c r="QX77" s="21"/>
      <c r="QY77" s="21"/>
      <c r="QZ77" s="21"/>
      <c r="RA77" s="21"/>
      <c r="RB77" s="21"/>
      <c r="RC77" s="21"/>
      <c r="RD77" s="21"/>
      <c r="RE77" s="21"/>
      <c r="RF77" s="21"/>
      <c r="RG77" s="21"/>
      <c r="RH77" s="21"/>
      <c r="RI77" s="21"/>
      <c r="RJ77" s="21"/>
      <c r="RK77" s="21"/>
      <c r="RL77" s="21"/>
      <c r="RM77" s="21"/>
      <c r="RN77" s="21"/>
      <c r="RO77" s="21"/>
      <c r="RP77" s="21"/>
      <c r="RQ77" s="21"/>
      <c r="RR77" s="21"/>
      <c r="RS77" s="21"/>
      <c r="RT77" s="21"/>
      <c r="RU77" s="21"/>
      <c r="RV77" s="21"/>
      <c r="RW77" s="21"/>
      <c r="RX77" s="21"/>
      <c r="RY77" s="21"/>
      <c r="RZ77" s="21"/>
      <c r="SA77" s="21"/>
      <c r="SB77" s="21"/>
      <c r="SC77" s="21"/>
      <c r="SD77" s="21"/>
      <c r="SE77" s="21"/>
      <c r="SF77" s="21"/>
      <c r="SG77" s="21"/>
      <c r="SH77" s="21"/>
      <c r="SI77" s="21"/>
      <c r="SJ77" s="21"/>
      <c r="SK77" s="21"/>
      <c r="SL77" s="21"/>
      <c r="SM77" s="21"/>
      <c r="SN77" s="21"/>
      <c r="SO77" s="21"/>
      <c r="SP77" s="21"/>
      <c r="SQ77" s="21"/>
      <c r="SR77" s="21"/>
      <c r="SS77" s="21"/>
      <c r="ST77" s="21"/>
      <c r="SU77" s="21"/>
      <c r="SV77" s="21"/>
      <c r="SW77" s="21"/>
      <c r="SX77" s="21"/>
      <c r="SY77" s="21"/>
      <c r="SZ77" s="21"/>
      <c r="TA77" s="21"/>
      <c r="TB77" s="21"/>
      <c r="TC77" s="21"/>
      <c r="TD77" s="21"/>
      <c r="TE77" s="21"/>
      <c r="TF77" s="21"/>
      <c r="TG77" s="21"/>
      <c r="TH77" s="21"/>
      <c r="TI77" s="21"/>
      <c r="TJ77" s="21"/>
      <c r="TK77" s="21"/>
      <c r="TL77" s="21"/>
      <c r="TM77" s="21"/>
      <c r="TN77" s="21"/>
      <c r="TO77" s="21"/>
      <c r="TP77" s="21"/>
      <c r="TQ77" s="21"/>
      <c r="TR77" s="21"/>
      <c r="TS77" s="21"/>
      <c r="TT77" s="21"/>
      <c r="TU77" s="21"/>
      <c r="TV77" s="21"/>
      <c r="TW77" s="21"/>
      <c r="TX77" s="21"/>
      <c r="TY77" s="21"/>
      <c r="TZ77" s="21"/>
      <c r="UA77" s="21"/>
      <c r="UB77" s="21"/>
      <c r="UC77" s="21"/>
      <c r="UD77" s="21"/>
      <c r="UE77" s="21"/>
      <c r="UF77" s="21"/>
      <c r="UG77" s="21"/>
      <c r="UH77" s="21"/>
      <c r="UI77" s="21"/>
      <c r="UJ77" s="21"/>
      <c r="UK77" s="21"/>
      <c r="UL77" s="21"/>
      <c r="UM77" s="21"/>
      <c r="UN77" s="21"/>
      <c r="UO77" s="21"/>
      <c r="UP77" s="21"/>
      <c r="UQ77" s="21"/>
      <c r="UR77" s="21"/>
      <c r="US77" s="21"/>
      <c r="UT77" s="21"/>
      <c r="UU77" s="21"/>
      <c r="UV77" s="21"/>
      <c r="UW77" s="21"/>
      <c r="UX77" s="21"/>
      <c r="UY77" s="21"/>
      <c r="UZ77" s="21"/>
      <c r="VA77" s="21"/>
      <c r="VB77" s="21"/>
      <c r="VC77" s="21"/>
      <c r="VD77" s="21"/>
      <c r="VE77" s="21"/>
      <c r="VF77" s="21"/>
      <c r="VG77" s="21"/>
      <c r="VH77" s="21"/>
      <c r="VI77" s="21"/>
      <c r="VJ77" s="21"/>
      <c r="VK77" s="21"/>
      <c r="VL77" s="21"/>
      <c r="VM77" s="21"/>
      <c r="VN77" s="21"/>
      <c r="VO77" s="21"/>
      <c r="VP77" s="21"/>
      <c r="VQ77" s="21"/>
      <c r="VR77" s="21"/>
      <c r="VS77" s="21"/>
      <c r="VT77" s="21"/>
      <c r="VU77" s="21"/>
      <c r="VV77" s="21"/>
      <c r="VW77" s="21"/>
      <c r="VX77" s="21"/>
      <c r="VY77" s="21"/>
      <c r="VZ77" s="21"/>
      <c r="WA77" s="21"/>
      <c r="WB77" s="21"/>
      <c r="WC77" s="21"/>
      <c r="WD77" s="21"/>
      <c r="WE77" s="21"/>
      <c r="WF77" s="21"/>
      <c r="WG77" s="21"/>
      <c r="WH77" s="21"/>
      <c r="WI77" s="21"/>
      <c r="WJ77" s="21"/>
      <c r="WK77" s="21"/>
      <c r="WL77" s="21"/>
      <c r="WM77" s="21"/>
      <c r="WN77" s="21"/>
      <c r="WO77" s="21"/>
      <c r="WP77" s="21"/>
      <c r="WQ77" s="21"/>
      <c r="WR77" s="21"/>
      <c r="WS77" s="21"/>
      <c r="WT77" s="21"/>
      <c r="WU77" s="21"/>
      <c r="WV77" s="21"/>
      <c r="WW77" s="21"/>
      <c r="WX77" s="21"/>
      <c r="WY77" s="21"/>
      <c r="WZ77" s="21"/>
      <c r="XA77" s="21"/>
      <c r="XB77" s="21"/>
      <c r="XC77" s="21"/>
      <c r="XD77" s="21"/>
      <c r="XE77" s="21"/>
      <c r="XF77" s="21"/>
      <c r="XG77" s="21"/>
      <c r="XH77" s="21"/>
      <c r="XI77" s="21"/>
      <c r="XJ77" s="21"/>
      <c r="XK77" s="21"/>
      <c r="XL77" s="21"/>
      <c r="XM77" s="21"/>
      <c r="XN77" s="21"/>
      <c r="XO77" s="21"/>
      <c r="XP77" s="21"/>
      <c r="XQ77" s="21"/>
      <c r="XR77" s="21"/>
      <c r="XS77" s="21"/>
      <c r="XT77" s="21"/>
      <c r="XU77" s="21"/>
      <c r="XV77" s="21"/>
      <c r="XW77" s="21"/>
      <c r="XX77" s="21"/>
      <c r="XY77" s="21"/>
      <c r="XZ77" s="21"/>
      <c r="YA77" s="21"/>
      <c r="YB77" s="21"/>
      <c r="YC77" s="21"/>
      <c r="YD77" s="21"/>
      <c r="YE77" s="21"/>
      <c r="YF77" s="21"/>
      <c r="YG77" s="21"/>
      <c r="YH77" s="21"/>
      <c r="YI77" s="21"/>
      <c r="YJ77" s="21"/>
      <c r="YK77" s="21"/>
      <c r="YL77" s="21"/>
      <c r="YM77" s="21"/>
      <c r="YN77" s="21"/>
      <c r="YO77" s="21"/>
      <c r="YP77" s="21"/>
      <c r="YQ77" s="21"/>
      <c r="YR77" s="21"/>
      <c r="YS77" s="21"/>
      <c r="YT77" s="21"/>
      <c r="YU77" s="21"/>
      <c r="YV77" s="21"/>
      <c r="YW77" s="21"/>
      <c r="YX77" s="21"/>
      <c r="YY77" s="21"/>
      <c r="YZ77" s="21"/>
      <c r="ZA77" s="21"/>
      <c r="ZB77" s="21"/>
      <c r="ZC77" s="21"/>
      <c r="ZD77" s="21"/>
      <c r="ZE77" s="21"/>
      <c r="ZF77" s="21"/>
      <c r="ZG77" s="21"/>
      <c r="ZH77" s="21"/>
      <c r="ZI77" s="21"/>
      <c r="ZJ77" s="21"/>
      <c r="ZK77" s="21"/>
      <c r="ZL77" s="21"/>
      <c r="ZM77" s="21"/>
      <c r="ZN77" s="21"/>
      <c r="ZO77" s="21"/>
      <c r="ZP77" s="21"/>
      <c r="ZQ77" s="21"/>
      <c r="ZR77" s="21"/>
      <c r="ZS77" s="21"/>
      <c r="ZT77" s="21"/>
      <c r="ZU77" s="21"/>
      <c r="ZV77" s="21"/>
      <c r="ZW77" s="21"/>
      <c r="ZX77" s="21"/>
      <c r="ZY77" s="21"/>
      <c r="ZZ77" s="21"/>
      <c r="AAA77" s="21"/>
      <c r="AAB77" s="21"/>
      <c r="AAC77" s="21"/>
      <c r="AAD77" s="21"/>
      <c r="AAE77" s="21"/>
      <c r="AAF77" s="21"/>
      <c r="AAG77" s="21"/>
      <c r="AAH77" s="21"/>
      <c r="AAI77" s="21"/>
      <c r="AAJ77" s="21"/>
      <c r="AAK77" s="21"/>
      <c r="AAL77" s="21"/>
      <c r="AAM77" s="21"/>
      <c r="AAN77" s="21"/>
      <c r="AAO77" s="21"/>
      <c r="AAP77" s="21"/>
      <c r="AAQ77" s="21"/>
      <c r="AAR77" s="21"/>
      <c r="AAS77" s="21"/>
      <c r="AAT77" s="21"/>
      <c r="AAU77" s="21"/>
      <c r="AAV77" s="21"/>
      <c r="AAW77" s="21"/>
      <c r="AAX77" s="21"/>
      <c r="AAY77" s="21"/>
      <c r="AAZ77" s="21"/>
      <c r="ABA77" s="21"/>
      <c r="ABB77" s="21"/>
      <c r="ABC77" s="21"/>
      <c r="ABD77" s="21"/>
      <c r="ABE77" s="21"/>
      <c r="ABF77" s="21"/>
      <c r="ABG77" s="21"/>
      <c r="ABH77" s="21"/>
      <c r="ABI77" s="21"/>
      <c r="ABJ77" s="21"/>
      <c r="ABK77" s="21"/>
      <c r="ABL77" s="21"/>
      <c r="ABM77" s="21"/>
      <c r="ABN77" s="21"/>
      <c r="ABO77" s="21"/>
      <c r="ABP77" s="21"/>
      <c r="ABQ77" s="21"/>
      <c r="ABR77" s="21"/>
      <c r="ABS77" s="21"/>
      <c r="ABT77" s="21"/>
      <c r="ABU77" s="21"/>
      <c r="ABV77" s="21"/>
      <c r="ABW77" s="21"/>
      <c r="ABX77" s="21"/>
      <c r="ABY77" s="21"/>
      <c r="ABZ77" s="21"/>
      <c r="ACA77" s="21"/>
      <c r="ACB77" s="21"/>
      <c r="ACC77" s="21"/>
      <c r="ACD77" s="21"/>
      <c r="ACE77" s="21"/>
      <c r="ACF77" s="21"/>
      <c r="ACG77" s="21"/>
      <c r="ACH77" s="21"/>
      <c r="ACI77" s="21"/>
      <c r="ACJ77" s="21"/>
      <c r="ACK77" s="21"/>
      <c r="ACL77" s="21"/>
      <c r="ACM77" s="21"/>
      <c r="ACN77" s="21"/>
      <c r="ACO77" s="21"/>
      <c r="ACP77" s="21"/>
      <c r="ACQ77" s="21"/>
      <c r="ACR77" s="21"/>
      <c r="ACS77" s="21"/>
      <c r="ACT77" s="21"/>
      <c r="ACU77" s="21"/>
      <c r="ACV77" s="21"/>
      <c r="ACW77" s="21"/>
      <c r="ACX77" s="21"/>
      <c r="ACY77" s="21"/>
      <c r="ACZ77" s="21"/>
      <c r="ADA77" s="21"/>
      <c r="ADB77" s="21"/>
      <c r="ADC77" s="21"/>
      <c r="ADD77" s="21"/>
      <c r="ADE77" s="21"/>
      <c r="ADF77" s="21"/>
      <c r="ADG77" s="21"/>
      <c r="ADH77" s="21"/>
      <c r="ADI77" s="21"/>
      <c r="ADJ77" s="21"/>
      <c r="ADK77" s="21"/>
      <c r="ADL77" s="21"/>
      <c r="ADM77" s="21"/>
      <c r="ADN77" s="21"/>
      <c r="ADO77" s="21"/>
      <c r="ADP77" s="21"/>
      <c r="ADQ77" s="21"/>
      <c r="ADR77" s="21"/>
      <c r="ADS77" s="21"/>
      <c r="ADT77" s="21"/>
      <c r="ADU77" s="21"/>
      <c r="ADV77" s="21"/>
      <c r="ADW77" s="21"/>
      <c r="ADX77" s="21"/>
      <c r="ADY77" s="21"/>
      <c r="ADZ77" s="21"/>
      <c r="AEA77" s="21"/>
      <c r="AEB77" s="21"/>
      <c r="AEC77" s="21"/>
      <c r="AED77" s="21"/>
      <c r="AEE77" s="21"/>
      <c r="AEF77" s="21"/>
      <c r="AEG77" s="21"/>
    </row>
    <row r="78" spans="1:813" s="93" customFormat="1" ht="120" x14ac:dyDescent="0.25">
      <c r="A78" s="179"/>
      <c r="B78" s="81" t="s">
        <v>324</v>
      </c>
      <c r="C78" s="80" t="s">
        <v>345</v>
      </c>
      <c r="D78" s="63" t="s">
        <v>344</v>
      </c>
      <c r="E78" s="118" t="s">
        <v>343</v>
      </c>
      <c r="F78" s="117"/>
      <c r="G78" s="32"/>
      <c r="H78" s="32">
        <v>210</v>
      </c>
      <c r="I78" s="32"/>
      <c r="J78" s="32">
        <v>165</v>
      </c>
      <c r="K78" s="32"/>
      <c r="L78" s="32">
        <v>150</v>
      </c>
      <c r="M78" s="32"/>
      <c r="N78" s="32"/>
      <c r="O78" s="32"/>
      <c r="P78" s="32">
        <v>5</v>
      </c>
      <c r="Q78" s="32"/>
      <c r="R78" s="32">
        <v>85</v>
      </c>
      <c r="S78" s="32"/>
      <c r="T78" s="32">
        <v>250</v>
      </c>
      <c r="U78" s="32"/>
      <c r="V78" s="32">
        <v>100</v>
      </c>
      <c r="W78" s="32"/>
      <c r="X78" s="32">
        <v>110</v>
      </c>
      <c r="Y78" s="32"/>
      <c r="Z78" s="32">
        <v>25</v>
      </c>
      <c r="AA78" s="32"/>
      <c r="AB78" s="32">
        <v>10</v>
      </c>
      <c r="AC78" s="32"/>
      <c r="AD78" s="32">
        <v>70</v>
      </c>
      <c r="AE78" s="32"/>
      <c r="AF78" s="32">
        <f t="shared" si="21"/>
        <v>1180</v>
      </c>
      <c r="AG78" s="32"/>
      <c r="AH78" s="32"/>
      <c r="AI78" s="32">
        <v>2710</v>
      </c>
      <c r="AJ78" s="31">
        <v>276267.3928903176</v>
      </c>
      <c r="AK78" s="31">
        <v>22503.848095500703</v>
      </c>
      <c r="AL78" s="31">
        <v>298771.24098581832</v>
      </c>
      <c r="AM78" s="30" t="s">
        <v>18</v>
      </c>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c r="IH78" s="21"/>
      <c r="II78" s="21"/>
      <c r="IJ78" s="21"/>
      <c r="IK78" s="21"/>
      <c r="IL78" s="21"/>
      <c r="IM78" s="21"/>
      <c r="IN78" s="21"/>
      <c r="IO78" s="21"/>
      <c r="IP78" s="21"/>
      <c r="IQ78" s="21"/>
      <c r="IR78" s="21"/>
      <c r="IS78" s="21"/>
      <c r="IT78" s="21"/>
      <c r="IU78" s="21"/>
      <c r="IV78" s="21"/>
      <c r="IW78" s="21"/>
      <c r="IX78" s="21"/>
      <c r="IY78" s="21"/>
      <c r="IZ78" s="21"/>
      <c r="JA78" s="21"/>
      <c r="JB78" s="21"/>
      <c r="JC78" s="21"/>
      <c r="JD78" s="21"/>
      <c r="JE78" s="21"/>
      <c r="JF78" s="21"/>
      <c r="JG78" s="21"/>
      <c r="JH78" s="21"/>
      <c r="JI78" s="21"/>
      <c r="JJ78" s="21"/>
      <c r="JK78" s="21"/>
      <c r="JL78" s="21"/>
      <c r="JM78" s="21"/>
      <c r="JN78" s="21"/>
      <c r="JO78" s="21"/>
      <c r="JP78" s="21"/>
      <c r="JQ78" s="21"/>
      <c r="JR78" s="21"/>
      <c r="JS78" s="21"/>
      <c r="JT78" s="21"/>
      <c r="JU78" s="21"/>
      <c r="JV78" s="21"/>
      <c r="JW78" s="21"/>
      <c r="JX78" s="21"/>
      <c r="JY78" s="21"/>
      <c r="JZ78" s="21"/>
      <c r="KA78" s="21"/>
      <c r="KB78" s="21"/>
      <c r="KC78" s="21"/>
      <c r="KD78" s="21"/>
      <c r="KE78" s="21"/>
      <c r="KF78" s="21"/>
      <c r="KG78" s="21"/>
      <c r="KH78" s="21"/>
      <c r="KI78" s="21"/>
      <c r="KJ78" s="21"/>
      <c r="KK78" s="21"/>
      <c r="KL78" s="21"/>
      <c r="KM78" s="21"/>
      <c r="KN78" s="21"/>
      <c r="KO78" s="21"/>
      <c r="KP78" s="21"/>
      <c r="KQ78" s="21"/>
      <c r="KR78" s="21"/>
      <c r="KS78" s="21"/>
      <c r="KT78" s="21"/>
      <c r="KU78" s="21"/>
      <c r="KV78" s="21"/>
      <c r="KW78" s="21"/>
      <c r="KX78" s="21"/>
      <c r="KY78" s="21"/>
      <c r="KZ78" s="21"/>
      <c r="LA78" s="21"/>
      <c r="LB78" s="21"/>
      <c r="LC78" s="21"/>
      <c r="LD78" s="21"/>
      <c r="LE78" s="21"/>
      <c r="LF78" s="21"/>
      <c r="LG78" s="21"/>
      <c r="LH78" s="21"/>
      <c r="LI78" s="21"/>
      <c r="LJ78" s="21"/>
      <c r="LK78" s="21"/>
      <c r="LL78" s="21"/>
      <c r="LM78" s="21"/>
      <c r="LN78" s="21"/>
      <c r="LO78" s="21"/>
      <c r="LP78" s="21"/>
      <c r="LQ78" s="21"/>
      <c r="LR78" s="21"/>
      <c r="LS78" s="21"/>
      <c r="LT78" s="21"/>
      <c r="LU78" s="21"/>
      <c r="LV78" s="21"/>
      <c r="LW78" s="21"/>
      <c r="LX78" s="21"/>
      <c r="LY78" s="21"/>
      <c r="LZ78" s="21"/>
      <c r="MA78" s="21"/>
      <c r="MB78" s="21"/>
      <c r="MC78" s="21"/>
      <c r="MD78" s="21"/>
      <c r="ME78" s="21"/>
      <c r="MF78" s="21"/>
      <c r="MG78" s="21"/>
      <c r="MH78" s="21"/>
      <c r="MI78" s="21"/>
      <c r="MJ78" s="21"/>
      <c r="MK78" s="21"/>
      <c r="ML78" s="21"/>
      <c r="MM78" s="21"/>
      <c r="MN78" s="21"/>
      <c r="MO78" s="21"/>
      <c r="MP78" s="21"/>
      <c r="MQ78" s="21"/>
      <c r="MR78" s="21"/>
      <c r="MS78" s="21"/>
      <c r="MT78" s="21"/>
      <c r="MU78" s="21"/>
      <c r="MV78" s="21"/>
      <c r="MW78" s="21"/>
      <c r="MX78" s="21"/>
      <c r="MY78" s="21"/>
      <c r="MZ78" s="21"/>
      <c r="NA78" s="21"/>
      <c r="NB78" s="21"/>
      <c r="NC78" s="21"/>
      <c r="ND78" s="21"/>
      <c r="NE78" s="21"/>
      <c r="NF78" s="21"/>
      <c r="NG78" s="21"/>
      <c r="NH78" s="21"/>
      <c r="NI78" s="21"/>
      <c r="NJ78" s="21"/>
      <c r="NK78" s="21"/>
      <c r="NL78" s="21"/>
      <c r="NM78" s="21"/>
      <c r="NN78" s="21"/>
      <c r="NO78" s="21"/>
      <c r="NP78" s="21"/>
      <c r="NQ78" s="21"/>
      <c r="NR78" s="21"/>
      <c r="NS78" s="21"/>
      <c r="NT78" s="21"/>
      <c r="NU78" s="21"/>
      <c r="NV78" s="21"/>
      <c r="NW78" s="21"/>
      <c r="NX78" s="21"/>
      <c r="NY78" s="21"/>
      <c r="NZ78" s="21"/>
      <c r="OA78" s="21"/>
      <c r="OB78" s="21"/>
      <c r="OC78" s="21"/>
      <c r="OD78" s="21"/>
      <c r="OE78" s="21"/>
      <c r="OF78" s="21"/>
      <c r="OG78" s="21"/>
      <c r="OH78" s="21"/>
      <c r="OI78" s="21"/>
      <c r="OJ78" s="21"/>
      <c r="OK78" s="21"/>
      <c r="OL78" s="21"/>
      <c r="OM78" s="21"/>
      <c r="ON78" s="21"/>
      <c r="OO78" s="21"/>
      <c r="OP78" s="21"/>
      <c r="OQ78" s="21"/>
      <c r="OR78" s="21"/>
      <c r="OS78" s="21"/>
      <c r="OT78" s="21"/>
      <c r="OU78" s="21"/>
      <c r="OV78" s="21"/>
      <c r="OW78" s="21"/>
      <c r="OX78" s="21"/>
      <c r="OY78" s="21"/>
      <c r="OZ78" s="21"/>
      <c r="PA78" s="21"/>
      <c r="PB78" s="21"/>
      <c r="PC78" s="21"/>
      <c r="PD78" s="21"/>
      <c r="PE78" s="21"/>
      <c r="PF78" s="21"/>
      <c r="PG78" s="21"/>
      <c r="PH78" s="21"/>
      <c r="PI78" s="21"/>
      <c r="PJ78" s="21"/>
      <c r="PK78" s="21"/>
      <c r="PL78" s="21"/>
      <c r="PM78" s="21"/>
      <c r="PN78" s="21"/>
      <c r="PO78" s="21"/>
      <c r="PP78" s="21"/>
      <c r="PQ78" s="21"/>
      <c r="PR78" s="21"/>
      <c r="PS78" s="21"/>
      <c r="PT78" s="21"/>
      <c r="PU78" s="21"/>
      <c r="PV78" s="21"/>
      <c r="PW78" s="21"/>
      <c r="PX78" s="21"/>
      <c r="PY78" s="21"/>
      <c r="PZ78" s="21"/>
      <c r="QA78" s="21"/>
      <c r="QB78" s="21"/>
      <c r="QC78" s="21"/>
      <c r="QD78" s="21"/>
      <c r="QE78" s="21"/>
      <c r="QF78" s="21"/>
      <c r="QG78" s="21"/>
      <c r="QH78" s="21"/>
      <c r="QI78" s="21"/>
      <c r="QJ78" s="21"/>
      <c r="QK78" s="21"/>
      <c r="QL78" s="21"/>
      <c r="QM78" s="21"/>
      <c r="QN78" s="21"/>
      <c r="QO78" s="21"/>
      <c r="QP78" s="21"/>
      <c r="QQ78" s="21"/>
      <c r="QR78" s="21"/>
      <c r="QS78" s="21"/>
      <c r="QT78" s="21"/>
      <c r="QU78" s="21"/>
      <c r="QV78" s="21"/>
      <c r="QW78" s="21"/>
      <c r="QX78" s="21"/>
      <c r="QY78" s="21"/>
      <c r="QZ78" s="21"/>
      <c r="RA78" s="21"/>
      <c r="RB78" s="21"/>
      <c r="RC78" s="21"/>
      <c r="RD78" s="21"/>
      <c r="RE78" s="21"/>
      <c r="RF78" s="21"/>
      <c r="RG78" s="21"/>
      <c r="RH78" s="21"/>
      <c r="RI78" s="21"/>
      <c r="RJ78" s="21"/>
      <c r="RK78" s="21"/>
      <c r="RL78" s="21"/>
      <c r="RM78" s="21"/>
      <c r="RN78" s="21"/>
      <c r="RO78" s="21"/>
      <c r="RP78" s="21"/>
      <c r="RQ78" s="21"/>
      <c r="RR78" s="21"/>
      <c r="RS78" s="21"/>
      <c r="RT78" s="21"/>
      <c r="RU78" s="21"/>
      <c r="RV78" s="21"/>
      <c r="RW78" s="21"/>
      <c r="RX78" s="21"/>
      <c r="RY78" s="21"/>
      <c r="RZ78" s="21"/>
      <c r="SA78" s="21"/>
      <c r="SB78" s="21"/>
      <c r="SC78" s="21"/>
      <c r="SD78" s="21"/>
      <c r="SE78" s="21"/>
      <c r="SF78" s="21"/>
      <c r="SG78" s="21"/>
      <c r="SH78" s="21"/>
      <c r="SI78" s="21"/>
      <c r="SJ78" s="21"/>
      <c r="SK78" s="21"/>
      <c r="SL78" s="21"/>
      <c r="SM78" s="21"/>
      <c r="SN78" s="21"/>
      <c r="SO78" s="21"/>
      <c r="SP78" s="21"/>
      <c r="SQ78" s="21"/>
      <c r="SR78" s="21"/>
      <c r="SS78" s="21"/>
      <c r="ST78" s="21"/>
      <c r="SU78" s="21"/>
      <c r="SV78" s="21"/>
      <c r="SW78" s="21"/>
      <c r="SX78" s="21"/>
      <c r="SY78" s="21"/>
      <c r="SZ78" s="21"/>
      <c r="TA78" s="21"/>
      <c r="TB78" s="21"/>
      <c r="TC78" s="21"/>
      <c r="TD78" s="21"/>
      <c r="TE78" s="21"/>
      <c r="TF78" s="21"/>
      <c r="TG78" s="21"/>
      <c r="TH78" s="21"/>
      <c r="TI78" s="21"/>
      <c r="TJ78" s="21"/>
      <c r="TK78" s="21"/>
      <c r="TL78" s="21"/>
      <c r="TM78" s="21"/>
      <c r="TN78" s="21"/>
      <c r="TO78" s="21"/>
      <c r="TP78" s="21"/>
      <c r="TQ78" s="21"/>
      <c r="TR78" s="21"/>
      <c r="TS78" s="21"/>
      <c r="TT78" s="21"/>
      <c r="TU78" s="21"/>
      <c r="TV78" s="21"/>
      <c r="TW78" s="21"/>
      <c r="TX78" s="21"/>
      <c r="TY78" s="21"/>
      <c r="TZ78" s="21"/>
      <c r="UA78" s="21"/>
      <c r="UB78" s="21"/>
      <c r="UC78" s="21"/>
      <c r="UD78" s="21"/>
      <c r="UE78" s="21"/>
      <c r="UF78" s="21"/>
      <c r="UG78" s="21"/>
      <c r="UH78" s="21"/>
      <c r="UI78" s="21"/>
      <c r="UJ78" s="21"/>
      <c r="UK78" s="21"/>
      <c r="UL78" s="21"/>
      <c r="UM78" s="21"/>
      <c r="UN78" s="21"/>
      <c r="UO78" s="21"/>
      <c r="UP78" s="21"/>
      <c r="UQ78" s="21"/>
      <c r="UR78" s="21"/>
      <c r="US78" s="21"/>
      <c r="UT78" s="21"/>
      <c r="UU78" s="21"/>
      <c r="UV78" s="21"/>
      <c r="UW78" s="21"/>
      <c r="UX78" s="21"/>
      <c r="UY78" s="21"/>
      <c r="UZ78" s="21"/>
      <c r="VA78" s="21"/>
      <c r="VB78" s="21"/>
      <c r="VC78" s="21"/>
      <c r="VD78" s="21"/>
      <c r="VE78" s="21"/>
      <c r="VF78" s="21"/>
      <c r="VG78" s="21"/>
      <c r="VH78" s="21"/>
      <c r="VI78" s="21"/>
      <c r="VJ78" s="21"/>
      <c r="VK78" s="21"/>
      <c r="VL78" s="21"/>
      <c r="VM78" s="21"/>
      <c r="VN78" s="21"/>
      <c r="VO78" s="21"/>
      <c r="VP78" s="21"/>
      <c r="VQ78" s="21"/>
      <c r="VR78" s="21"/>
      <c r="VS78" s="21"/>
      <c r="VT78" s="21"/>
      <c r="VU78" s="21"/>
      <c r="VV78" s="21"/>
      <c r="VW78" s="21"/>
      <c r="VX78" s="21"/>
      <c r="VY78" s="21"/>
      <c r="VZ78" s="21"/>
      <c r="WA78" s="21"/>
      <c r="WB78" s="21"/>
      <c r="WC78" s="21"/>
      <c r="WD78" s="21"/>
      <c r="WE78" s="21"/>
      <c r="WF78" s="21"/>
      <c r="WG78" s="21"/>
      <c r="WH78" s="21"/>
      <c r="WI78" s="21"/>
      <c r="WJ78" s="21"/>
      <c r="WK78" s="21"/>
      <c r="WL78" s="21"/>
      <c r="WM78" s="21"/>
      <c r="WN78" s="21"/>
      <c r="WO78" s="21"/>
      <c r="WP78" s="21"/>
      <c r="WQ78" s="21"/>
      <c r="WR78" s="21"/>
      <c r="WS78" s="21"/>
      <c r="WT78" s="21"/>
      <c r="WU78" s="21"/>
      <c r="WV78" s="21"/>
      <c r="WW78" s="21"/>
      <c r="WX78" s="21"/>
      <c r="WY78" s="21"/>
      <c r="WZ78" s="21"/>
      <c r="XA78" s="21"/>
      <c r="XB78" s="21"/>
      <c r="XC78" s="21"/>
      <c r="XD78" s="21"/>
      <c r="XE78" s="21"/>
      <c r="XF78" s="21"/>
      <c r="XG78" s="21"/>
      <c r="XH78" s="21"/>
      <c r="XI78" s="21"/>
      <c r="XJ78" s="21"/>
      <c r="XK78" s="21"/>
      <c r="XL78" s="21"/>
      <c r="XM78" s="21"/>
      <c r="XN78" s="21"/>
      <c r="XO78" s="21"/>
      <c r="XP78" s="21"/>
      <c r="XQ78" s="21"/>
      <c r="XR78" s="21"/>
      <c r="XS78" s="21"/>
      <c r="XT78" s="21"/>
      <c r="XU78" s="21"/>
      <c r="XV78" s="21"/>
      <c r="XW78" s="21"/>
      <c r="XX78" s="21"/>
      <c r="XY78" s="21"/>
      <c r="XZ78" s="21"/>
      <c r="YA78" s="21"/>
      <c r="YB78" s="21"/>
      <c r="YC78" s="21"/>
      <c r="YD78" s="21"/>
      <c r="YE78" s="21"/>
      <c r="YF78" s="21"/>
      <c r="YG78" s="21"/>
      <c r="YH78" s="21"/>
      <c r="YI78" s="21"/>
      <c r="YJ78" s="21"/>
      <c r="YK78" s="21"/>
      <c r="YL78" s="21"/>
      <c r="YM78" s="21"/>
      <c r="YN78" s="21"/>
      <c r="YO78" s="21"/>
      <c r="YP78" s="21"/>
      <c r="YQ78" s="21"/>
      <c r="YR78" s="21"/>
      <c r="YS78" s="21"/>
      <c r="YT78" s="21"/>
      <c r="YU78" s="21"/>
      <c r="YV78" s="21"/>
      <c r="YW78" s="21"/>
      <c r="YX78" s="21"/>
      <c r="YY78" s="21"/>
      <c r="YZ78" s="21"/>
      <c r="ZA78" s="21"/>
      <c r="ZB78" s="21"/>
      <c r="ZC78" s="21"/>
      <c r="ZD78" s="21"/>
      <c r="ZE78" s="21"/>
      <c r="ZF78" s="21"/>
      <c r="ZG78" s="21"/>
      <c r="ZH78" s="21"/>
      <c r="ZI78" s="21"/>
      <c r="ZJ78" s="21"/>
      <c r="ZK78" s="21"/>
      <c r="ZL78" s="21"/>
      <c r="ZM78" s="21"/>
      <c r="ZN78" s="21"/>
      <c r="ZO78" s="21"/>
      <c r="ZP78" s="21"/>
      <c r="ZQ78" s="21"/>
      <c r="ZR78" s="21"/>
      <c r="ZS78" s="21"/>
      <c r="ZT78" s="21"/>
      <c r="ZU78" s="21"/>
      <c r="ZV78" s="21"/>
      <c r="ZW78" s="21"/>
      <c r="ZX78" s="21"/>
      <c r="ZY78" s="21"/>
      <c r="ZZ78" s="21"/>
      <c r="AAA78" s="21"/>
      <c r="AAB78" s="21"/>
      <c r="AAC78" s="21"/>
      <c r="AAD78" s="21"/>
      <c r="AAE78" s="21"/>
      <c r="AAF78" s="21"/>
      <c r="AAG78" s="21"/>
      <c r="AAH78" s="21"/>
      <c r="AAI78" s="21"/>
      <c r="AAJ78" s="21"/>
      <c r="AAK78" s="21"/>
      <c r="AAL78" s="21"/>
      <c r="AAM78" s="21"/>
      <c r="AAN78" s="21"/>
      <c r="AAO78" s="21"/>
      <c r="AAP78" s="21"/>
      <c r="AAQ78" s="21"/>
      <c r="AAR78" s="21"/>
      <c r="AAS78" s="21"/>
      <c r="AAT78" s="21"/>
      <c r="AAU78" s="21"/>
      <c r="AAV78" s="21"/>
      <c r="AAW78" s="21"/>
      <c r="AAX78" s="21"/>
      <c r="AAY78" s="21"/>
      <c r="AAZ78" s="21"/>
      <c r="ABA78" s="21"/>
      <c r="ABB78" s="21"/>
      <c r="ABC78" s="21"/>
      <c r="ABD78" s="21"/>
      <c r="ABE78" s="21"/>
      <c r="ABF78" s="21"/>
      <c r="ABG78" s="21"/>
      <c r="ABH78" s="21"/>
      <c r="ABI78" s="21"/>
      <c r="ABJ78" s="21"/>
      <c r="ABK78" s="21"/>
      <c r="ABL78" s="21"/>
      <c r="ABM78" s="21"/>
      <c r="ABN78" s="21"/>
      <c r="ABO78" s="21"/>
      <c r="ABP78" s="21"/>
      <c r="ABQ78" s="21"/>
      <c r="ABR78" s="21"/>
      <c r="ABS78" s="21"/>
      <c r="ABT78" s="21"/>
      <c r="ABU78" s="21"/>
      <c r="ABV78" s="21"/>
      <c r="ABW78" s="21"/>
      <c r="ABX78" s="21"/>
      <c r="ABY78" s="21"/>
      <c r="ABZ78" s="21"/>
      <c r="ACA78" s="21"/>
      <c r="ACB78" s="21"/>
      <c r="ACC78" s="21"/>
      <c r="ACD78" s="21"/>
      <c r="ACE78" s="21"/>
      <c r="ACF78" s="21"/>
      <c r="ACG78" s="21"/>
      <c r="ACH78" s="21"/>
      <c r="ACI78" s="21"/>
      <c r="ACJ78" s="21"/>
      <c r="ACK78" s="21"/>
      <c r="ACL78" s="21"/>
      <c r="ACM78" s="21"/>
      <c r="ACN78" s="21"/>
      <c r="ACO78" s="21"/>
      <c r="ACP78" s="21"/>
      <c r="ACQ78" s="21"/>
      <c r="ACR78" s="21"/>
      <c r="ACS78" s="21"/>
      <c r="ACT78" s="21"/>
      <c r="ACU78" s="21"/>
      <c r="ACV78" s="21"/>
      <c r="ACW78" s="21"/>
      <c r="ACX78" s="21"/>
      <c r="ACY78" s="21"/>
      <c r="ACZ78" s="21"/>
      <c r="ADA78" s="21"/>
      <c r="ADB78" s="21"/>
      <c r="ADC78" s="21"/>
      <c r="ADD78" s="21"/>
      <c r="ADE78" s="21"/>
      <c r="ADF78" s="21"/>
      <c r="ADG78" s="21"/>
      <c r="ADH78" s="21"/>
      <c r="ADI78" s="21"/>
      <c r="ADJ78" s="21"/>
      <c r="ADK78" s="21"/>
      <c r="ADL78" s="21"/>
      <c r="ADM78" s="21"/>
      <c r="ADN78" s="21"/>
      <c r="ADO78" s="21"/>
      <c r="ADP78" s="21"/>
      <c r="ADQ78" s="21"/>
      <c r="ADR78" s="21"/>
      <c r="ADS78" s="21"/>
      <c r="ADT78" s="21"/>
      <c r="ADU78" s="21"/>
      <c r="ADV78" s="21"/>
      <c r="ADW78" s="21"/>
      <c r="ADX78" s="21"/>
      <c r="ADY78" s="21"/>
      <c r="ADZ78" s="21"/>
      <c r="AEA78" s="21"/>
      <c r="AEB78" s="21"/>
      <c r="AEC78" s="21"/>
      <c r="AED78" s="21"/>
      <c r="AEE78" s="21"/>
      <c r="AEF78" s="21"/>
      <c r="AEG78" s="21"/>
    </row>
    <row r="79" spans="1:813" s="93" customFormat="1" ht="105" x14ac:dyDescent="0.25">
      <c r="A79" s="179"/>
      <c r="B79" s="81" t="s">
        <v>324</v>
      </c>
      <c r="C79" s="80" t="s">
        <v>342</v>
      </c>
      <c r="D79" s="63" t="s">
        <v>341</v>
      </c>
      <c r="E79" s="36" t="s">
        <v>340</v>
      </c>
      <c r="F79" s="63"/>
      <c r="G79" s="32"/>
      <c r="H79" s="32"/>
      <c r="I79" s="32"/>
      <c r="J79" s="32">
        <v>155</v>
      </c>
      <c r="K79" s="32"/>
      <c r="L79" s="32">
        <v>150</v>
      </c>
      <c r="M79" s="32"/>
      <c r="N79" s="32">
        <v>250</v>
      </c>
      <c r="O79" s="32"/>
      <c r="P79" s="32">
        <v>5</v>
      </c>
      <c r="Q79" s="32"/>
      <c r="R79" s="32">
        <v>85</v>
      </c>
      <c r="S79" s="32"/>
      <c r="T79" s="32">
        <v>305</v>
      </c>
      <c r="U79" s="32"/>
      <c r="V79" s="32"/>
      <c r="W79" s="32"/>
      <c r="X79" s="32">
        <v>95</v>
      </c>
      <c r="Y79" s="32"/>
      <c r="Z79" s="32">
        <v>40</v>
      </c>
      <c r="AA79" s="32"/>
      <c r="AB79" s="32">
        <v>20</v>
      </c>
      <c r="AC79" s="32"/>
      <c r="AD79" s="32">
        <v>70</v>
      </c>
      <c r="AE79" s="32"/>
      <c r="AF79" s="32">
        <f t="shared" si="21"/>
        <v>1175</v>
      </c>
      <c r="AG79" s="32"/>
      <c r="AH79" s="32"/>
      <c r="AI79" s="32">
        <v>90</v>
      </c>
      <c r="AJ79" s="31">
        <v>74013.410483987085</v>
      </c>
      <c r="AK79" s="31">
        <v>6028.8929834830269</v>
      </c>
      <c r="AL79" s="31">
        <v>80042.303467470105</v>
      </c>
      <c r="AM79" s="30" t="s">
        <v>18</v>
      </c>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c r="FT79" s="21"/>
      <c r="FU79" s="21"/>
      <c r="FV79" s="21"/>
      <c r="FW79" s="21"/>
      <c r="FX79" s="21"/>
      <c r="FY79" s="21"/>
      <c r="FZ79" s="21"/>
      <c r="GA79" s="21"/>
      <c r="GB79" s="21"/>
      <c r="GC79" s="21"/>
      <c r="GD79" s="21"/>
      <c r="GE79" s="21"/>
      <c r="GF79" s="21"/>
      <c r="GG79" s="21"/>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c r="IH79" s="21"/>
      <c r="II79" s="21"/>
      <c r="IJ79" s="21"/>
      <c r="IK79" s="21"/>
      <c r="IL79" s="21"/>
      <c r="IM79" s="21"/>
      <c r="IN79" s="21"/>
      <c r="IO79" s="21"/>
      <c r="IP79" s="21"/>
      <c r="IQ79" s="21"/>
      <c r="IR79" s="21"/>
      <c r="IS79" s="21"/>
      <c r="IT79" s="21"/>
      <c r="IU79" s="21"/>
      <c r="IV79" s="21"/>
      <c r="IW79" s="21"/>
      <c r="IX79" s="21"/>
      <c r="IY79" s="21"/>
      <c r="IZ79" s="21"/>
      <c r="JA79" s="21"/>
      <c r="JB79" s="21"/>
      <c r="JC79" s="21"/>
      <c r="JD79" s="21"/>
      <c r="JE79" s="21"/>
      <c r="JF79" s="21"/>
      <c r="JG79" s="21"/>
      <c r="JH79" s="21"/>
      <c r="JI79" s="21"/>
      <c r="JJ79" s="21"/>
      <c r="JK79" s="21"/>
      <c r="JL79" s="21"/>
      <c r="JM79" s="21"/>
      <c r="JN79" s="21"/>
      <c r="JO79" s="21"/>
      <c r="JP79" s="21"/>
      <c r="JQ79" s="21"/>
      <c r="JR79" s="21"/>
      <c r="JS79" s="21"/>
      <c r="JT79" s="21"/>
      <c r="JU79" s="21"/>
      <c r="JV79" s="21"/>
      <c r="JW79" s="21"/>
      <c r="JX79" s="21"/>
      <c r="JY79" s="21"/>
      <c r="JZ79" s="21"/>
      <c r="KA79" s="21"/>
      <c r="KB79" s="21"/>
      <c r="KC79" s="21"/>
      <c r="KD79" s="21"/>
      <c r="KE79" s="21"/>
      <c r="KF79" s="21"/>
      <c r="KG79" s="21"/>
      <c r="KH79" s="21"/>
      <c r="KI79" s="21"/>
      <c r="KJ79" s="21"/>
      <c r="KK79" s="21"/>
      <c r="KL79" s="21"/>
      <c r="KM79" s="21"/>
      <c r="KN79" s="21"/>
      <c r="KO79" s="21"/>
      <c r="KP79" s="21"/>
      <c r="KQ79" s="21"/>
      <c r="KR79" s="21"/>
      <c r="KS79" s="21"/>
      <c r="KT79" s="21"/>
      <c r="KU79" s="21"/>
      <c r="KV79" s="21"/>
      <c r="KW79" s="21"/>
      <c r="KX79" s="21"/>
      <c r="KY79" s="21"/>
      <c r="KZ79" s="21"/>
      <c r="LA79" s="21"/>
      <c r="LB79" s="21"/>
      <c r="LC79" s="21"/>
      <c r="LD79" s="21"/>
      <c r="LE79" s="21"/>
      <c r="LF79" s="21"/>
      <c r="LG79" s="21"/>
      <c r="LH79" s="21"/>
      <c r="LI79" s="21"/>
      <c r="LJ79" s="21"/>
      <c r="LK79" s="21"/>
      <c r="LL79" s="21"/>
      <c r="LM79" s="21"/>
      <c r="LN79" s="21"/>
      <c r="LO79" s="21"/>
      <c r="LP79" s="21"/>
      <c r="LQ79" s="21"/>
      <c r="LR79" s="21"/>
      <c r="LS79" s="21"/>
      <c r="LT79" s="21"/>
      <c r="LU79" s="21"/>
      <c r="LV79" s="21"/>
      <c r="LW79" s="21"/>
      <c r="LX79" s="21"/>
      <c r="LY79" s="21"/>
      <c r="LZ79" s="21"/>
      <c r="MA79" s="21"/>
      <c r="MB79" s="21"/>
      <c r="MC79" s="21"/>
      <c r="MD79" s="21"/>
      <c r="ME79" s="21"/>
      <c r="MF79" s="21"/>
      <c r="MG79" s="21"/>
      <c r="MH79" s="21"/>
      <c r="MI79" s="21"/>
      <c r="MJ79" s="21"/>
      <c r="MK79" s="21"/>
      <c r="ML79" s="21"/>
      <c r="MM79" s="21"/>
      <c r="MN79" s="21"/>
      <c r="MO79" s="21"/>
      <c r="MP79" s="21"/>
      <c r="MQ79" s="21"/>
      <c r="MR79" s="21"/>
      <c r="MS79" s="21"/>
      <c r="MT79" s="21"/>
      <c r="MU79" s="21"/>
      <c r="MV79" s="21"/>
      <c r="MW79" s="21"/>
      <c r="MX79" s="21"/>
      <c r="MY79" s="21"/>
      <c r="MZ79" s="21"/>
      <c r="NA79" s="21"/>
      <c r="NB79" s="21"/>
      <c r="NC79" s="21"/>
      <c r="ND79" s="21"/>
      <c r="NE79" s="21"/>
      <c r="NF79" s="21"/>
      <c r="NG79" s="21"/>
      <c r="NH79" s="21"/>
      <c r="NI79" s="21"/>
      <c r="NJ79" s="21"/>
      <c r="NK79" s="21"/>
      <c r="NL79" s="21"/>
      <c r="NM79" s="21"/>
      <c r="NN79" s="21"/>
      <c r="NO79" s="21"/>
      <c r="NP79" s="21"/>
      <c r="NQ79" s="21"/>
      <c r="NR79" s="21"/>
      <c r="NS79" s="21"/>
      <c r="NT79" s="21"/>
      <c r="NU79" s="21"/>
      <c r="NV79" s="21"/>
      <c r="NW79" s="21"/>
      <c r="NX79" s="21"/>
      <c r="NY79" s="21"/>
      <c r="NZ79" s="21"/>
      <c r="OA79" s="21"/>
      <c r="OB79" s="21"/>
      <c r="OC79" s="21"/>
      <c r="OD79" s="21"/>
      <c r="OE79" s="21"/>
      <c r="OF79" s="21"/>
      <c r="OG79" s="21"/>
      <c r="OH79" s="21"/>
      <c r="OI79" s="21"/>
      <c r="OJ79" s="21"/>
      <c r="OK79" s="21"/>
      <c r="OL79" s="21"/>
      <c r="OM79" s="21"/>
      <c r="ON79" s="21"/>
      <c r="OO79" s="21"/>
      <c r="OP79" s="21"/>
      <c r="OQ79" s="21"/>
      <c r="OR79" s="21"/>
      <c r="OS79" s="21"/>
      <c r="OT79" s="21"/>
      <c r="OU79" s="21"/>
      <c r="OV79" s="21"/>
      <c r="OW79" s="21"/>
      <c r="OX79" s="21"/>
      <c r="OY79" s="21"/>
      <c r="OZ79" s="21"/>
      <c r="PA79" s="21"/>
      <c r="PB79" s="21"/>
      <c r="PC79" s="21"/>
      <c r="PD79" s="21"/>
      <c r="PE79" s="21"/>
      <c r="PF79" s="21"/>
      <c r="PG79" s="21"/>
      <c r="PH79" s="21"/>
      <c r="PI79" s="21"/>
      <c r="PJ79" s="21"/>
      <c r="PK79" s="21"/>
      <c r="PL79" s="21"/>
      <c r="PM79" s="21"/>
      <c r="PN79" s="21"/>
      <c r="PO79" s="21"/>
      <c r="PP79" s="21"/>
      <c r="PQ79" s="21"/>
      <c r="PR79" s="21"/>
      <c r="PS79" s="21"/>
      <c r="PT79" s="21"/>
      <c r="PU79" s="21"/>
      <c r="PV79" s="21"/>
      <c r="PW79" s="21"/>
      <c r="PX79" s="21"/>
      <c r="PY79" s="21"/>
      <c r="PZ79" s="21"/>
      <c r="QA79" s="21"/>
      <c r="QB79" s="21"/>
      <c r="QC79" s="21"/>
      <c r="QD79" s="21"/>
      <c r="QE79" s="21"/>
      <c r="QF79" s="21"/>
      <c r="QG79" s="21"/>
      <c r="QH79" s="21"/>
      <c r="QI79" s="21"/>
      <c r="QJ79" s="21"/>
      <c r="QK79" s="21"/>
      <c r="QL79" s="21"/>
      <c r="QM79" s="21"/>
      <c r="QN79" s="21"/>
      <c r="QO79" s="21"/>
      <c r="QP79" s="21"/>
      <c r="QQ79" s="21"/>
      <c r="QR79" s="21"/>
      <c r="QS79" s="21"/>
      <c r="QT79" s="21"/>
      <c r="QU79" s="21"/>
      <c r="QV79" s="21"/>
      <c r="QW79" s="21"/>
      <c r="QX79" s="21"/>
      <c r="QY79" s="21"/>
      <c r="QZ79" s="21"/>
      <c r="RA79" s="21"/>
      <c r="RB79" s="21"/>
      <c r="RC79" s="21"/>
      <c r="RD79" s="21"/>
      <c r="RE79" s="21"/>
      <c r="RF79" s="21"/>
      <c r="RG79" s="21"/>
      <c r="RH79" s="21"/>
      <c r="RI79" s="21"/>
      <c r="RJ79" s="21"/>
      <c r="RK79" s="21"/>
      <c r="RL79" s="21"/>
      <c r="RM79" s="21"/>
      <c r="RN79" s="21"/>
      <c r="RO79" s="21"/>
      <c r="RP79" s="21"/>
      <c r="RQ79" s="21"/>
      <c r="RR79" s="21"/>
      <c r="RS79" s="21"/>
      <c r="RT79" s="21"/>
      <c r="RU79" s="21"/>
      <c r="RV79" s="21"/>
      <c r="RW79" s="21"/>
      <c r="RX79" s="21"/>
      <c r="RY79" s="21"/>
      <c r="RZ79" s="21"/>
      <c r="SA79" s="21"/>
      <c r="SB79" s="21"/>
      <c r="SC79" s="21"/>
      <c r="SD79" s="21"/>
      <c r="SE79" s="21"/>
      <c r="SF79" s="21"/>
      <c r="SG79" s="21"/>
      <c r="SH79" s="21"/>
      <c r="SI79" s="21"/>
      <c r="SJ79" s="21"/>
      <c r="SK79" s="21"/>
      <c r="SL79" s="21"/>
      <c r="SM79" s="21"/>
      <c r="SN79" s="21"/>
      <c r="SO79" s="21"/>
      <c r="SP79" s="21"/>
      <c r="SQ79" s="21"/>
      <c r="SR79" s="21"/>
      <c r="SS79" s="21"/>
      <c r="ST79" s="21"/>
      <c r="SU79" s="21"/>
      <c r="SV79" s="21"/>
      <c r="SW79" s="21"/>
      <c r="SX79" s="21"/>
      <c r="SY79" s="21"/>
      <c r="SZ79" s="21"/>
      <c r="TA79" s="21"/>
      <c r="TB79" s="21"/>
      <c r="TC79" s="21"/>
      <c r="TD79" s="21"/>
      <c r="TE79" s="21"/>
      <c r="TF79" s="21"/>
      <c r="TG79" s="21"/>
      <c r="TH79" s="21"/>
      <c r="TI79" s="21"/>
      <c r="TJ79" s="21"/>
      <c r="TK79" s="21"/>
      <c r="TL79" s="21"/>
      <c r="TM79" s="21"/>
      <c r="TN79" s="21"/>
      <c r="TO79" s="21"/>
      <c r="TP79" s="21"/>
      <c r="TQ79" s="21"/>
      <c r="TR79" s="21"/>
      <c r="TS79" s="21"/>
      <c r="TT79" s="21"/>
      <c r="TU79" s="21"/>
      <c r="TV79" s="21"/>
      <c r="TW79" s="21"/>
      <c r="TX79" s="21"/>
      <c r="TY79" s="21"/>
      <c r="TZ79" s="21"/>
      <c r="UA79" s="21"/>
      <c r="UB79" s="21"/>
      <c r="UC79" s="21"/>
      <c r="UD79" s="21"/>
      <c r="UE79" s="21"/>
      <c r="UF79" s="21"/>
      <c r="UG79" s="21"/>
      <c r="UH79" s="21"/>
      <c r="UI79" s="21"/>
      <c r="UJ79" s="21"/>
      <c r="UK79" s="21"/>
      <c r="UL79" s="21"/>
      <c r="UM79" s="21"/>
      <c r="UN79" s="21"/>
      <c r="UO79" s="21"/>
      <c r="UP79" s="21"/>
      <c r="UQ79" s="21"/>
      <c r="UR79" s="21"/>
      <c r="US79" s="21"/>
      <c r="UT79" s="21"/>
      <c r="UU79" s="21"/>
      <c r="UV79" s="21"/>
      <c r="UW79" s="21"/>
      <c r="UX79" s="21"/>
      <c r="UY79" s="21"/>
      <c r="UZ79" s="21"/>
      <c r="VA79" s="21"/>
      <c r="VB79" s="21"/>
      <c r="VC79" s="21"/>
      <c r="VD79" s="21"/>
      <c r="VE79" s="21"/>
      <c r="VF79" s="21"/>
      <c r="VG79" s="21"/>
      <c r="VH79" s="21"/>
      <c r="VI79" s="21"/>
      <c r="VJ79" s="21"/>
      <c r="VK79" s="21"/>
      <c r="VL79" s="21"/>
      <c r="VM79" s="21"/>
      <c r="VN79" s="21"/>
      <c r="VO79" s="21"/>
      <c r="VP79" s="21"/>
      <c r="VQ79" s="21"/>
      <c r="VR79" s="21"/>
      <c r="VS79" s="21"/>
      <c r="VT79" s="21"/>
      <c r="VU79" s="21"/>
      <c r="VV79" s="21"/>
      <c r="VW79" s="21"/>
      <c r="VX79" s="21"/>
      <c r="VY79" s="21"/>
      <c r="VZ79" s="21"/>
      <c r="WA79" s="21"/>
      <c r="WB79" s="21"/>
      <c r="WC79" s="21"/>
      <c r="WD79" s="21"/>
      <c r="WE79" s="21"/>
      <c r="WF79" s="21"/>
      <c r="WG79" s="21"/>
      <c r="WH79" s="21"/>
      <c r="WI79" s="21"/>
      <c r="WJ79" s="21"/>
      <c r="WK79" s="21"/>
      <c r="WL79" s="21"/>
      <c r="WM79" s="21"/>
      <c r="WN79" s="21"/>
      <c r="WO79" s="21"/>
      <c r="WP79" s="21"/>
      <c r="WQ79" s="21"/>
      <c r="WR79" s="21"/>
      <c r="WS79" s="21"/>
      <c r="WT79" s="21"/>
      <c r="WU79" s="21"/>
      <c r="WV79" s="21"/>
      <c r="WW79" s="21"/>
      <c r="WX79" s="21"/>
      <c r="WY79" s="21"/>
      <c r="WZ79" s="21"/>
      <c r="XA79" s="21"/>
      <c r="XB79" s="21"/>
      <c r="XC79" s="21"/>
      <c r="XD79" s="21"/>
      <c r="XE79" s="21"/>
      <c r="XF79" s="21"/>
      <c r="XG79" s="21"/>
      <c r="XH79" s="21"/>
      <c r="XI79" s="21"/>
      <c r="XJ79" s="21"/>
      <c r="XK79" s="21"/>
      <c r="XL79" s="21"/>
      <c r="XM79" s="21"/>
      <c r="XN79" s="21"/>
      <c r="XO79" s="21"/>
      <c r="XP79" s="21"/>
      <c r="XQ79" s="21"/>
      <c r="XR79" s="21"/>
      <c r="XS79" s="21"/>
      <c r="XT79" s="21"/>
      <c r="XU79" s="21"/>
      <c r="XV79" s="21"/>
      <c r="XW79" s="21"/>
      <c r="XX79" s="21"/>
      <c r="XY79" s="21"/>
      <c r="XZ79" s="21"/>
      <c r="YA79" s="21"/>
      <c r="YB79" s="21"/>
      <c r="YC79" s="21"/>
      <c r="YD79" s="21"/>
      <c r="YE79" s="21"/>
      <c r="YF79" s="21"/>
      <c r="YG79" s="21"/>
      <c r="YH79" s="21"/>
      <c r="YI79" s="21"/>
      <c r="YJ79" s="21"/>
      <c r="YK79" s="21"/>
      <c r="YL79" s="21"/>
      <c r="YM79" s="21"/>
      <c r="YN79" s="21"/>
      <c r="YO79" s="21"/>
      <c r="YP79" s="21"/>
      <c r="YQ79" s="21"/>
      <c r="YR79" s="21"/>
      <c r="YS79" s="21"/>
      <c r="YT79" s="21"/>
      <c r="YU79" s="21"/>
      <c r="YV79" s="21"/>
      <c r="YW79" s="21"/>
      <c r="YX79" s="21"/>
      <c r="YY79" s="21"/>
      <c r="YZ79" s="21"/>
      <c r="ZA79" s="21"/>
      <c r="ZB79" s="21"/>
      <c r="ZC79" s="21"/>
      <c r="ZD79" s="21"/>
      <c r="ZE79" s="21"/>
      <c r="ZF79" s="21"/>
      <c r="ZG79" s="21"/>
      <c r="ZH79" s="21"/>
      <c r="ZI79" s="21"/>
      <c r="ZJ79" s="21"/>
      <c r="ZK79" s="21"/>
      <c r="ZL79" s="21"/>
      <c r="ZM79" s="21"/>
      <c r="ZN79" s="21"/>
      <c r="ZO79" s="21"/>
      <c r="ZP79" s="21"/>
      <c r="ZQ79" s="21"/>
      <c r="ZR79" s="21"/>
      <c r="ZS79" s="21"/>
      <c r="ZT79" s="21"/>
      <c r="ZU79" s="21"/>
      <c r="ZV79" s="21"/>
      <c r="ZW79" s="21"/>
      <c r="ZX79" s="21"/>
      <c r="ZY79" s="21"/>
      <c r="ZZ79" s="21"/>
      <c r="AAA79" s="21"/>
      <c r="AAB79" s="21"/>
      <c r="AAC79" s="21"/>
      <c r="AAD79" s="21"/>
      <c r="AAE79" s="21"/>
      <c r="AAF79" s="21"/>
      <c r="AAG79" s="21"/>
      <c r="AAH79" s="21"/>
      <c r="AAI79" s="21"/>
      <c r="AAJ79" s="21"/>
      <c r="AAK79" s="21"/>
      <c r="AAL79" s="21"/>
      <c r="AAM79" s="21"/>
      <c r="AAN79" s="21"/>
      <c r="AAO79" s="21"/>
      <c r="AAP79" s="21"/>
      <c r="AAQ79" s="21"/>
      <c r="AAR79" s="21"/>
      <c r="AAS79" s="21"/>
      <c r="AAT79" s="21"/>
      <c r="AAU79" s="21"/>
      <c r="AAV79" s="21"/>
      <c r="AAW79" s="21"/>
      <c r="AAX79" s="21"/>
      <c r="AAY79" s="21"/>
      <c r="AAZ79" s="21"/>
      <c r="ABA79" s="21"/>
      <c r="ABB79" s="21"/>
      <c r="ABC79" s="21"/>
      <c r="ABD79" s="21"/>
      <c r="ABE79" s="21"/>
      <c r="ABF79" s="21"/>
      <c r="ABG79" s="21"/>
      <c r="ABH79" s="21"/>
      <c r="ABI79" s="21"/>
      <c r="ABJ79" s="21"/>
      <c r="ABK79" s="21"/>
      <c r="ABL79" s="21"/>
      <c r="ABM79" s="21"/>
      <c r="ABN79" s="21"/>
      <c r="ABO79" s="21"/>
      <c r="ABP79" s="21"/>
      <c r="ABQ79" s="21"/>
      <c r="ABR79" s="21"/>
      <c r="ABS79" s="21"/>
      <c r="ABT79" s="21"/>
      <c r="ABU79" s="21"/>
      <c r="ABV79" s="21"/>
      <c r="ABW79" s="21"/>
      <c r="ABX79" s="21"/>
      <c r="ABY79" s="21"/>
      <c r="ABZ79" s="21"/>
      <c r="ACA79" s="21"/>
      <c r="ACB79" s="21"/>
      <c r="ACC79" s="21"/>
      <c r="ACD79" s="21"/>
      <c r="ACE79" s="21"/>
      <c r="ACF79" s="21"/>
      <c r="ACG79" s="21"/>
      <c r="ACH79" s="21"/>
      <c r="ACI79" s="21"/>
      <c r="ACJ79" s="21"/>
      <c r="ACK79" s="21"/>
      <c r="ACL79" s="21"/>
      <c r="ACM79" s="21"/>
      <c r="ACN79" s="21"/>
      <c r="ACO79" s="21"/>
      <c r="ACP79" s="21"/>
      <c r="ACQ79" s="21"/>
      <c r="ACR79" s="21"/>
      <c r="ACS79" s="21"/>
      <c r="ACT79" s="21"/>
      <c r="ACU79" s="21"/>
      <c r="ACV79" s="21"/>
      <c r="ACW79" s="21"/>
      <c r="ACX79" s="21"/>
      <c r="ACY79" s="21"/>
      <c r="ACZ79" s="21"/>
      <c r="ADA79" s="21"/>
      <c r="ADB79" s="21"/>
      <c r="ADC79" s="21"/>
      <c r="ADD79" s="21"/>
      <c r="ADE79" s="21"/>
      <c r="ADF79" s="21"/>
      <c r="ADG79" s="21"/>
      <c r="ADH79" s="21"/>
      <c r="ADI79" s="21"/>
      <c r="ADJ79" s="21"/>
      <c r="ADK79" s="21"/>
      <c r="ADL79" s="21"/>
      <c r="ADM79" s="21"/>
      <c r="ADN79" s="21"/>
      <c r="ADO79" s="21"/>
      <c r="ADP79" s="21"/>
      <c r="ADQ79" s="21"/>
      <c r="ADR79" s="21"/>
      <c r="ADS79" s="21"/>
      <c r="ADT79" s="21"/>
      <c r="ADU79" s="21"/>
      <c r="ADV79" s="21"/>
      <c r="ADW79" s="21"/>
      <c r="ADX79" s="21"/>
      <c r="ADY79" s="21"/>
      <c r="ADZ79" s="21"/>
      <c r="AEA79" s="21"/>
      <c r="AEB79" s="21"/>
      <c r="AEC79" s="21"/>
      <c r="AED79" s="21"/>
      <c r="AEE79" s="21"/>
      <c r="AEF79" s="21"/>
      <c r="AEG79" s="21"/>
    </row>
    <row r="80" spans="1:813" s="93" customFormat="1" ht="75" x14ac:dyDescent="0.25">
      <c r="A80" s="179"/>
      <c r="B80" s="81" t="s">
        <v>324</v>
      </c>
      <c r="C80" s="80" t="s">
        <v>339</v>
      </c>
      <c r="D80" s="63" t="s">
        <v>338</v>
      </c>
      <c r="E80" s="36" t="s">
        <v>337</v>
      </c>
      <c r="F80" s="63"/>
      <c r="G80" s="32"/>
      <c r="H80" s="32">
        <v>10</v>
      </c>
      <c r="I80" s="32"/>
      <c r="J80" s="32">
        <v>100</v>
      </c>
      <c r="K80" s="32"/>
      <c r="L80" s="32"/>
      <c r="M80" s="32"/>
      <c r="N80" s="32"/>
      <c r="O80" s="32"/>
      <c r="P80" s="32"/>
      <c r="Q80" s="32"/>
      <c r="R80" s="32">
        <v>90</v>
      </c>
      <c r="S80" s="32"/>
      <c r="T80" s="32">
        <v>200</v>
      </c>
      <c r="U80" s="32"/>
      <c r="V80" s="32"/>
      <c r="W80" s="32"/>
      <c r="X80" s="32">
        <v>85</v>
      </c>
      <c r="Y80" s="32"/>
      <c r="Z80" s="32">
        <v>10</v>
      </c>
      <c r="AA80" s="32"/>
      <c r="AB80" s="32"/>
      <c r="AC80" s="32"/>
      <c r="AD80" s="32"/>
      <c r="AE80" s="32"/>
      <c r="AF80" s="32">
        <f t="shared" si="21"/>
        <v>495</v>
      </c>
      <c r="AG80" s="32"/>
      <c r="AH80" s="32"/>
      <c r="AI80" s="32">
        <v>10</v>
      </c>
      <c r="AJ80" s="31">
        <v>28687.298935676583</v>
      </c>
      <c r="AK80" s="31">
        <v>2336.7745674386838</v>
      </c>
      <c r="AL80" s="31">
        <v>31024.073503115265</v>
      </c>
      <c r="AM80" s="30" t="s">
        <v>18</v>
      </c>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c r="ID80" s="21"/>
      <c r="IE80" s="21"/>
      <c r="IF80" s="21"/>
      <c r="IG80" s="21"/>
      <c r="IH80" s="21"/>
      <c r="II80" s="21"/>
      <c r="IJ80" s="21"/>
      <c r="IK80" s="21"/>
      <c r="IL80" s="21"/>
      <c r="IM80" s="21"/>
      <c r="IN80" s="21"/>
      <c r="IO80" s="21"/>
      <c r="IP80" s="21"/>
      <c r="IQ80" s="21"/>
      <c r="IR80" s="21"/>
      <c r="IS80" s="21"/>
      <c r="IT80" s="21"/>
      <c r="IU80" s="21"/>
      <c r="IV80" s="21"/>
      <c r="IW80" s="21"/>
      <c r="IX80" s="21"/>
      <c r="IY80" s="21"/>
      <c r="IZ80" s="21"/>
      <c r="JA80" s="21"/>
      <c r="JB80" s="21"/>
      <c r="JC80" s="21"/>
      <c r="JD80" s="21"/>
      <c r="JE80" s="21"/>
      <c r="JF80" s="21"/>
      <c r="JG80" s="21"/>
      <c r="JH80" s="21"/>
      <c r="JI80" s="21"/>
      <c r="JJ80" s="21"/>
      <c r="JK80" s="21"/>
      <c r="JL80" s="21"/>
      <c r="JM80" s="21"/>
      <c r="JN80" s="21"/>
      <c r="JO80" s="21"/>
      <c r="JP80" s="21"/>
      <c r="JQ80" s="21"/>
      <c r="JR80" s="21"/>
      <c r="JS80" s="21"/>
      <c r="JT80" s="21"/>
      <c r="JU80" s="21"/>
      <c r="JV80" s="21"/>
      <c r="JW80" s="21"/>
      <c r="JX80" s="21"/>
      <c r="JY80" s="21"/>
      <c r="JZ80" s="21"/>
      <c r="KA80" s="21"/>
      <c r="KB80" s="21"/>
      <c r="KC80" s="21"/>
      <c r="KD80" s="21"/>
      <c r="KE80" s="21"/>
      <c r="KF80" s="21"/>
      <c r="KG80" s="21"/>
      <c r="KH80" s="21"/>
      <c r="KI80" s="21"/>
      <c r="KJ80" s="21"/>
      <c r="KK80" s="21"/>
      <c r="KL80" s="21"/>
      <c r="KM80" s="21"/>
      <c r="KN80" s="21"/>
      <c r="KO80" s="21"/>
      <c r="KP80" s="21"/>
      <c r="KQ80" s="21"/>
      <c r="KR80" s="21"/>
      <c r="KS80" s="21"/>
      <c r="KT80" s="21"/>
      <c r="KU80" s="21"/>
      <c r="KV80" s="21"/>
      <c r="KW80" s="21"/>
      <c r="KX80" s="21"/>
      <c r="KY80" s="21"/>
      <c r="KZ80" s="21"/>
      <c r="LA80" s="21"/>
      <c r="LB80" s="21"/>
      <c r="LC80" s="21"/>
      <c r="LD80" s="21"/>
      <c r="LE80" s="21"/>
      <c r="LF80" s="21"/>
      <c r="LG80" s="21"/>
      <c r="LH80" s="21"/>
      <c r="LI80" s="21"/>
      <c r="LJ80" s="21"/>
      <c r="LK80" s="21"/>
      <c r="LL80" s="21"/>
      <c r="LM80" s="21"/>
      <c r="LN80" s="21"/>
      <c r="LO80" s="21"/>
      <c r="LP80" s="21"/>
      <c r="LQ80" s="21"/>
      <c r="LR80" s="21"/>
      <c r="LS80" s="21"/>
      <c r="LT80" s="21"/>
      <c r="LU80" s="21"/>
      <c r="LV80" s="21"/>
      <c r="LW80" s="21"/>
      <c r="LX80" s="21"/>
      <c r="LY80" s="21"/>
      <c r="LZ80" s="21"/>
      <c r="MA80" s="21"/>
      <c r="MB80" s="21"/>
      <c r="MC80" s="21"/>
      <c r="MD80" s="21"/>
      <c r="ME80" s="21"/>
      <c r="MF80" s="21"/>
      <c r="MG80" s="21"/>
      <c r="MH80" s="21"/>
      <c r="MI80" s="21"/>
      <c r="MJ80" s="21"/>
      <c r="MK80" s="21"/>
      <c r="ML80" s="21"/>
      <c r="MM80" s="21"/>
      <c r="MN80" s="21"/>
      <c r="MO80" s="21"/>
      <c r="MP80" s="21"/>
      <c r="MQ80" s="21"/>
      <c r="MR80" s="21"/>
      <c r="MS80" s="21"/>
      <c r="MT80" s="21"/>
      <c r="MU80" s="21"/>
      <c r="MV80" s="21"/>
      <c r="MW80" s="21"/>
      <c r="MX80" s="21"/>
      <c r="MY80" s="21"/>
      <c r="MZ80" s="21"/>
      <c r="NA80" s="21"/>
      <c r="NB80" s="21"/>
      <c r="NC80" s="21"/>
      <c r="ND80" s="21"/>
      <c r="NE80" s="21"/>
      <c r="NF80" s="21"/>
      <c r="NG80" s="21"/>
      <c r="NH80" s="21"/>
      <c r="NI80" s="21"/>
      <c r="NJ80" s="21"/>
      <c r="NK80" s="21"/>
      <c r="NL80" s="21"/>
      <c r="NM80" s="21"/>
      <c r="NN80" s="21"/>
      <c r="NO80" s="21"/>
      <c r="NP80" s="21"/>
      <c r="NQ80" s="21"/>
      <c r="NR80" s="21"/>
      <c r="NS80" s="21"/>
      <c r="NT80" s="21"/>
      <c r="NU80" s="21"/>
      <c r="NV80" s="21"/>
      <c r="NW80" s="21"/>
      <c r="NX80" s="21"/>
      <c r="NY80" s="21"/>
      <c r="NZ80" s="21"/>
      <c r="OA80" s="21"/>
      <c r="OB80" s="21"/>
      <c r="OC80" s="21"/>
      <c r="OD80" s="21"/>
      <c r="OE80" s="21"/>
      <c r="OF80" s="21"/>
      <c r="OG80" s="21"/>
      <c r="OH80" s="21"/>
      <c r="OI80" s="21"/>
      <c r="OJ80" s="21"/>
      <c r="OK80" s="21"/>
      <c r="OL80" s="21"/>
      <c r="OM80" s="21"/>
      <c r="ON80" s="21"/>
      <c r="OO80" s="21"/>
      <c r="OP80" s="21"/>
      <c r="OQ80" s="21"/>
      <c r="OR80" s="21"/>
      <c r="OS80" s="21"/>
      <c r="OT80" s="21"/>
      <c r="OU80" s="21"/>
      <c r="OV80" s="21"/>
      <c r="OW80" s="21"/>
      <c r="OX80" s="21"/>
      <c r="OY80" s="21"/>
      <c r="OZ80" s="21"/>
      <c r="PA80" s="21"/>
      <c r="PB80" s="21"/>
      <c r="PC80" s="21"/>
      <c r="PD80" s="21"/>
      <c r="PE80" s="21"/>
      <c r="PF80" s="21"/>
      <c r="PG80" s="21"/>
      <c r="PH80" s="21"/>
      <c r="PI80" s="21"/>
      <c r="PJ80" s="21"/>
      <c r="PK80" s="21"/>
      <c r="PL80" s="21"/>
      <c r="PM80" s="21"/>
      <c r="PN80" s="21"/>
      <c r="PO80" s="21"/>
      <c r="PP80" s="21"/>
      <c r="PQ80" s="21"/>
      <c r="PR80" s="21"/>
      <c r="PS80" s="21"/>
      <c r="PT80" s="21"/>
      <c r="PU80" s="21"/>
      <c r="PV80" s="21"/>
      <c r="PW80" s="21"/>
      <c r="PX80" s="21"/>
      <c r="PY80" s="21"/>
      <c r="PZ80" s="21"/>
      <c r="QA80" s="21"/>
      <c r="QB80" s="21"/>
      <c r="QC80" s="21"/>
      <c r="QD80" s="21"/>
      <c r="QE80" s="21"/>
      <c r="QF80" s="21"/>
      <c r="QG80" s="21"/>
      <c r="QH80" s="21"/>
      <c r="QI80" s="21"/>
      <c r="QJ80" s="21"/>
      <c r="QK80" s="21"/>
      <c r="QL80" s="21"/>
      <c r="QM80" s="21"/>
      <c r="QN80" s="21"/>
      <c r="QO80" s="21"/>
      <c r="QP80" s="21"/>
      <c r="QQ80" s="21"/>
      <c r="QR80" s="21"/>
      <c r="QS80" s="21"/>
      <c r="QT80" s="21"/>
      <c r="QU80" s="21"/>
      <c r="QV80" s="21"/>
      <c r="QW80" s="21"/>
      <c r="QX80" s="21"/>
      <c r="QY80" s="21"/>
      <c r="QZ80" s="21"/>
      <c r="RA80" s="21"/>
      <c r="RB80" s="21"/>
      <c r="RC80" s="21"/>
      <c r="RD80" s="21"/>
      <c r="RE80" s="21"/>
      <c r="RF80" s="21"/>
      <c r="RG80" s="21"/>
      <c r="RH80" s="21"/>
      <c r="RI80" s="21"/>
      <c r="RJ80" s="21"/>
      <c r="RK80" s="21"/>
      <c r="RL80" s="21"/>
      <c r="RM80" s="21"/>
      <c r="RN80" s="21"/>
      <c r="RO80" s="21"/>
      <c r="RP80" s="21"/>
      <c r="RQ80" s="21"/>
      <c r="RR80" s="21"/>
      <c r="RS80" s="21"/>
      <c r="RT80" s="21"/>
      <c r="RU80" s="21"/>
      <c r="RV80" s="21"/>
      <c r="RW80" s="21"/>
      <c r="RX80" s="21"/>
      <c r="RY80" s="21"/>
      <c r="RZ80" s="21"/>
      <c r="SA80" s="21"/>
      <c r="SB80" s="21"/>
      <c r="SC80" s="21"/>
      <c r="SD80" s="21"/>
      <c r="SE80" s="21"/>
      <c r="SF80" s="21"/>
      <c r="SG80" s="21"/>
      <c r="SH80" s="21"/>
      <c r="SI80" s="21"/>
      <c r="SJ80" s="21"/>
      <c r="SK80" s="21"/>
      <c r="SL80" s="21"/>
      <c r="SM80" s="21"/>
      <c r="SN80" s="21"/>
      <c r="SO80" s="21"/>
      <c r="SP80" s="21"/>
      <c r="SQ80" s="21"/>
      <c r="SR80" s="21"/>
      <c r="SS80" s="21"/>
      <c r="ST80" s="21"/>
      <c r="SU80" s="21"/>
      <c r="SV80" s="21"/>
      <c r="SW80" s="21"/>
      <c r="SX80" s="21"/>
      <c r="SY80" s="21"/>
      <c r="SZ80" s="21"/>
      <c r="TA80" s="21"/>
      <c r="TB80" s="21"/>
      <c r="TC80" s="21"/>
      <c r="TD80" s="21"/>
      <c r="TE80" s="21"/>
      <c r="TF80" s="21"/>
      <c r="TG80" s="21"/>
      <c r="TH80" s="21"/>
      <c r="TI80" s="21"/>
      <c r="TJ80" s="21"/>
      <c r="TK80" s="21"/>
      <c r="TL80" s="21"/>
      <c r="TM80" s="21"/>
      <c r="TN80" s="21"/>
      <c r="TO80" s="21"/>
      <c r="TP80" s="21"/>
      <c r="TQ80" s="21"/>
      <c r="TR80" s="21"/>
      <c r="TS80" s="21"/>
      <c r="TT80" s="21"/>
      <c r="TU80" s="21"/>
      <c r="TV80" s="21"/>
      <c r="TW80" s="21"/>
      <c r="TX80" s="21"/>
      <c r="TY80" s="21"/>
      <c r="TZ80" s="21"/>
      <c r="UA80" s="21"/>
      <c r="UB80" s="21"/>
      <c r="UC80" s="21"/>
      <c r="UD80" s="21"/>
      <c r="UE80" s="21"/>
      <c r="UF80" s="21"/>
      <c r="UG80" s="21"/>
      <c r="UH80" s="21"/>
      <c r="UI80" s="21"/>
      <c r="UJ80" s="21"/>
      <c r="UK80" s="21"/>
      <c r="UL80" s="21"/>
      <c r="UM80" s="21"/>
      <c r="UN80" s="21"/>
      <c r="UO80" s="21"/>
      <c r="UP80" s="21"/>
      <c r="UQ80" s="21"/>
      <c r="UR80" s="21"/>
      <c r="US80" s="21"/>
      <c r="UT80" s="21"/>
      <c r="UU80" s="21"/>
      <c r="UV80" s="21"/>
      <c r="UW80" s="21"/>
      <c r="UX80" s="21"/>
      <c r="UY80" s="21"/>
      <c r="UZ80" s="21"/>
      <c r="VA80" s="21"/>
      <c r="VB80" s="21"/>
      <c r="VC80" s="21"/>
      <c r="VD80" s="21"/>
      <c r="VE80" s="21"/>
      <c r="VF80" s="21"/>
      <c r="VG80" s="21"/>
      <c r="VH80" s="21"/>
      <c r="VI80" s="21"/>
      <c r="VJ80" s="21"/>
      <c r="VK80" s="21"/>
      <c r="VL80" s="21"/>
      <c r="VM80" s="21"/>
      <c r="VN80" s="21"/>
      <c r="VO80" s="21"/>
      <c r="VP80" s="21"/>
      <c r="VQ80" s="21"/>
      <c r="VR80" s="21"/>
      <c r="VS80" s="21"/>
      <c r="VT80" s="21"/>
      <c r="VU80" s="21"/>
      <c r="VV80" s="21"/>
      <c r="VW80" s="21"/>
      <c r="VX80" s="21"/>
      <c r="VY80" s="21"/>
      <c r="VZ80" s="21"/>
      <c r="WA80" s="21"/>
      <c r="WB80" s="21"/>
      <c r="WC80" s="21"/>
      <c r="WD80" s="21"/>
      <c r="WE80" s="21"/>
      <c r="WF80" s="21"/>
      <c r="WG80" s="21"/>
      <c r="WH80" s="21"/>
      <c r="WI80" s="21"/>
      <c r="WJ80" s="21"/>
      <c r="WK80" s="21"/>
      <c r="WL80" s="21"/>
      <c r="WM80" s="21"/>
      <c r="WN80" s="21"/>
      <c r="WO80" s="21"/>
      <c r="WP80" s="21"/>
      <c r="WQ80" s="21"/>
      <c r="WR80" s="21"/>
      <c r="WS80" s="21"/>
      <c r="WT80" s="21"/>
      <c r="WU80" s="21"/>
      <c r="WV80" s="21"/>
      <c r="WW80" s="21"/>
      <c r="WX80" s="21"/>
      <c r="WY80" s="21"/>
      <c r="WZ80" s="21"/>
      <c r="XA80" s="21"/>
      <c r="XB80" s="21"/>
      <c r="XC80" s="21"/>
      <c r="XD80" s="21"/>
      <c r="XE80" s="21"/>
      <c r="XF80" s="21"/>
      <c r="XG80" s="21"/>
      <c r="XH80" s="21"/>
      <c r="XI80" s="21"/>
      <c r="XJ80" s="21"/>
      <c r="XK80" s="21"/>
      <c r="XL80" s="21"/>
      <c r="XM80" s="21"/>
      <c r="XN80" s="21"/>
      <c r="XO80" s="21"/>
      <c r="XP80" s="21"/>
      <c r="XQ80" s="21"/>
      <c r="XR80" s="21"/>
      <c r="XS80" s="21"/>
      <c r="XT80" s="21"/>
      <c r="XU80" s="21"/>
      <c r="XV80" s="21"/>
      <c r="XW80" s="21"/>
      <c r="XX80" s="21"/>
      <c r="XY80" s="21"/>
      <c r="XZ80" s="21"/>
      <c r="YA80" s="21"/>
      <c r="YB80" s="21"/>
      <c r="YC80" s="21"/>
      <c r="YD80" s="21"/>
      <c r="YE80" s="21"/>
      <c r="YF80" s="21"/>
      <c r="YG80" s="21"/>
      <c r="YH80" s="21"/>
      <c r="YI80" s="21"/>
      <c r="YJ80" s="21"/>
      <c r="YK80" s="21"/>
      <c r="YL80" s="21"/>
      <c r="YM80" s="21"/>
      <c r="YN80" s="21"/>
      <c r="YO80" s="21"/>
      <c r="YP80" s="21"/>
      <c r="YQ80" s="21"/>
      <c r="YR80" s="21"/>
      <c r="YS80" s="21"/>
      <c r="YT80" s="21"/>
      <c r="YU80" s="21"/>
      <c r="YV80" s="21"/>
      <c r="YW80" s="21"/>
      <c r="YX80" s="21"/>
      <c r="YY80" s="21"/>
      <c r="YZ80" s="21"/>
      <c r="ZA80" s="21"/>
      <c r="ZB80" s="21"/>
      <c r="ZC80" s="21"/>
      <c r="ZD80" s="21"/>
      <c r="ZE80" s="21"/>
      <c r="ZF80" s="21"/>
      <c r="ZG80" s="21"/>
      <c r="ZH80" s="21"/>
      <c r="ZI80" s="21"/>
      <c r="ZJ80" s="21"/>
      <c r="ZK80" s="21"/>
      <c r="ZL80" s="21"/>
      <c r="ZM80" s="21"/>
      <c r="ZN80" s="21"/>
      <c r="ZO80" s="21"/>
      <c r="ZP80" s="21"/>
      <c r="ZQ80" s="21"/>
      <c r="ZR80" s="21"/>
      <c r="ZS80" s="21"/>
      <c r="ZT80" s="21"/>
      <c r="ZU80" s="21"/>
      <c r="ZV80" s="21"/>
      <c r="ZW80" s="21"/>
      <c r="ZX80" s="21"/>
      <c r="ZY80" s="21"/>
      <c r="ZZ80" s="21"/>
      <c r="AAA80" s="21"/>
      <c r="AAB80" s="21"/>
      <c r="AAC80" s="21"/>
      <c r="AAD80" s="21"/>
      <c r="AAE80" s="21"/>
      <c r="AAF80" s="21"/>
      <c r="AAG80" s="21"/>
      <c r="AAH80" s="21"/>
      <c r="AAI80" s="21"/>
      <c r="AAJ80" s="21"/>
      <c r="AAK80" s="21"/>
      <c r="AAL80" s="21"/>
      <c r="AAM80" s="21"/>
      <c r="AAN80" s="21"/>
      <c r="AAO80" s="21"/>
      <c r="AAP80" s="21"/>
      <c r="AAQ80" s="21"/>
      <c r="AAR80" s="21"/>
      <c r="AAS80" s="21"/>
      <c r="AAT80" s="21"/>
      <c r="AAU80" s="21"/>
      <c r="AAV80" s="21"/>
      <c r="AAW80" s="21"/>
      <c r="AAX80" s="21"/>
      <c r="AAY80" s="21"/>
      <c r="AAZ80" s="21"/>
      <c r="ABA80" s="21"/>
      <c r="ABB80" s="21"/>
      <c r="ABC80" s="21"/>
      <c r="ABD80" s="21"/>
      <c r="ABE80" s="21"/>
      <c r="ABF80" s="21"/>
      <c r="ABG80" s="21"/>
      <c r="ABH80" s="21"/>
      <c r="ABI80" s="21"/>
      <c r="ABJ80" s="21"/>
      <c r="ABK80" s="21"/>
      <c r="ABL80" s="21"/>
      <c r="ABM80" s="21"/>
      <c r="ABN80" s="21"/>
      <c r="ABO80" s="21"/>
      <c r="ABP80" s="21"/>
      <c r="ABQ80" s="21"/>
      <c r="ABR80" s="21"/>
      <c r="ABS80" s="21"/>
      <c r="ABT80" s="21"/>
      <c r="ABU80" s="21"/>
      <c r="ABV80" s="21"/>
      <c r="ABW80" s="21"/>
      <c r="ABX80" s="21"/>
      <c r="ABY80" s="21"/>
      <c r="ABZ80" s="21"/>
      <c r="ACA80" s="21"/>
      <c r="ACB80" s="21"/>
      <c r="ACC80" s="21"/>
      <c r="ACD80" s="21"/>
      <c r="ACE80" s="21"/>
      <c r="ACF80" s="21"/>
      <c r="ACG80" s="21"/>
      <c r="ACH80" s="21"/>
      <c r="ACI80" s="21"/>
      <c r="ACJ80" s="21"/>
      <c r="ACK80" s="21"/>
      <c r="ACL80" s="21"/>
      <c r="ACM80" s="21"/>
      <c r="ACN80" s="21"/>
      <c r="ACO80" s="21"/>
      <c r="ACP80" s="21"/>
      <c r="ACQ80" s="21"/>
      <c r="ACR80" s="21"/>
      <c r="ACS80" s="21"/>
      <c r="ACT80" s="21"/>
      <c r="ACU80" s="21"/>
      <c r="ACV80" s="21"/>
      <c r="ACW80" s="21"/>
      <c r="ACX80" s="21"/>
      <c r="ACY80" s="21"/>
      <c r="ACZ80" s="21"/>
      <c r="ADA80" s="21"/>
      <c r="ADB80" s="21"/>
      <c r="ADC80" s="21"/>
      <c r="ADD80" s="21"/>
      <c r="ADE80" s="21"/>
      <c r="ADF80" s="21"/>
      <c r="ADG80" s="21"/>
      <c r="ADH80" s="21"/>
      <c r="ADI80" s="21"/>
      <c r="ADJ80" s="21"/>
      <c r="ADK80" s="21"/>
      <c r="ADL80" s="21"/>
      <c r="ADM80" s="21"/>
      <c r="ADN80" s="21"/>
      <c r="ADO80" s="21"/>
      <c r="ADP80" s="21"/>
      <c r="ADQ80" s="21"/>
      <c r="ADR80" s="21"/>
      <c r="ADS80" s="21"/>
      <c r="ADT80" s="21"/>
      <c r="ADU80" s="21"/>
      <c r="ADV80" s="21"/>
      <c r="ADW80" s="21"/>
      <c r="ADX80" s="21"/>
      <c r="ADY80" s="21"/>
      <c r="ADZ80" s="21"/>
      <c r="AEA80" s="21"/>
      <c r="AEB80" s="21"/>
      <c r="AEC80" s="21"/>
      <c r="AED80" s="21"/>
      <c r="AEE80" s="21"/>
      <c r="AEF80" s="21"/>
      <c r="AEG80" s="21"/>
    </row>
    <row r="81" spans="1:813" s="93" customFormat="1" ht="60" x14ac:dyDescent="0.25">
      <c r="A81" s="181">
        <v>27</v>
      </c>
      <c r="B81" s="81" t="s">
        <v>324</v>
      </c>
      <c r="C81" s="80" t="s">
        <v>336</v>
      </c>
      <c r="D81" s="74" t="s">
        <v>335</v>
      </c>
      <c r="E81" s="36" t="s">
        <v>334</v>
      </c>
      <c r="F81" s="63"/>
      <c r="G81" s="32"/>
      <c r="H81" s="32"/>
      <c r="I81" s="32"/>
      <c r="J81" s="32">
        <v>85</v>
      </c>
      <c r="K81" s="32"/>
      <c r="L81" s="32">
        <v>800</v>
      </c>
      <c r="M81" s="32"/>
      <c r="N81" s="32"/>
      <c r="O81" s="32"/>
      <c r="P81" s="32">
        <v>5</v>
      </c>
      <c r="Q81" s="32"/>
      <c r="R81" s="32">
        <v>85</v>
      </c>
      <c r="S81" s="32"/>
      <c r="T81" s="32"/>
      <c r="U81" s="32"/>
      <c r="V81" s="32"/>
      <c r="W81" s="32"/>
      <c r="X81" s="32">
        <v>60</v>
      </c>
      <c r="Y81" s="32"/>
      <c r="Z81" s="32"/>
      <c r="AA81" s="32"/>
      <c r="AB81" s="32"/>
      <c r="AC81" s="32"/>
      <c r="AD81" s="32"/>
      <c r="AE81" s="32"/>
      <c r="AF81" s="32">
        <f t="shared" si="21"/>
        <v>1035</v>
      </c>
      <c r="AG81" s="32"/>
      <c r="AH81" s="32"/>
      <c r="AI81" s="32">
        <v>1015</v>
      </c>
      <c r="AJ81" s="31">
        <v>136144.77650031896</v>
      </c>
      <c r="AK81" s="31">
        <v>11089.913063230882</v>
      </c>
      <c r="AL81" s="31">
        <v>147234.68956354985</v>
      </c>
      <c r="AM81" s="30" t="s">
        <v>18</v>
      </c>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c r="ID81" s="21"/>
      <c r="IE81" s="21"/>
      <c r="IF81" s="21"/>
      <c r="IG81" s="21"/>
      <c r="IH81" s="21"/>
      <c r="II81" s="21"/>
      <c r="IJ81" s="21"/>
      <c r="IK81" s="21"/>
      <c r="IL81" s="21"/>
      <c r="IM81" s="21"/>
      <c r="IN81" s="21"/>
      <c r="IO81" s="21"/>
      <c r="IP81" s="21"/>
      <c r="IQ81" s="21"/>
      <c r="IR81" s="21"/>
      <c r="IS81" s="21"/>
      <c r="IT81" s="21"/>
      <c r="IU81" s="21"/>
      <c r="IV81" s="21"/>
      <c r="IW81" s="21"/>
      <c r="IX81" s="21"/>
      <c r="IY81" s="21"/>
      <c r="IZ81" s="21"/>
      <c r="JA81" s="21"/>
      <c r="JB81" s="21"/>
      <c r="JC81" s="21"/>
      <c r="JD81" s="21"/>
      <c r="JE81" s="21"/>
      <c r="JF81" s="21"/>
      <c r="JG81" s="21"/>
      <c r="JH81" s="21"/>
      <c r="JI81" s="21"/>
      <c r="JJ81" s="21"/>
      <c r="JK81" s="21"/>
      <c r="JL81" s="21"/>
      <c r="JM81" s="21"/>
      <c r="JN81" s="21"/>
      <c r="JO81" s="21"/>
      <c r="JP81" s="21"/>
      <c r="JQ81" s="21"/>
      <c r="JR81" s="21"/>
      <c r="JS81" s="21"/>
      <c r="JT81" s="21"/>
      <c r="JU81" s="21"/>
      <c r="JV81" s="21"/>
      <c r="JW81" s="21"/>
      <c r="JX81" s="21"/>
      <c r="JY81" s="21"/>
      <c r="JZ81" s="21"/>
      <c r="KA81" s="21"/>
      <c r="KB81" s="21"/>
      <c r="KC81" s="21"/>
      <c r="KD81" s="21"/>
      <c r="KE81" s="21"/>
      <c r="KF81" s="21"/>
      <c r="KG81" s="21"/>
      <c r="KH81" s="21"/>
      <c r="KI81" s="21"/>
      <c r="KJ81" s="21"/>
      <c r="KK81" s="21"/>
      <c r="KL81" s="21"/>
      <c r="KM81" s="21"/>
      <c r="KN81" s="21"/>
      <c r="KO81" s="21"/>
      <c r="KP81" s="21"/>
      <c r="KQ81" s="21"/>
      <c r="KR81" s="21"/>
      <c r="KS81" s="21"/>
      <c r="KT81" s="21"/>
      <c r="KU81" s="21"/>
      <c r="KV81" s="21"/>
      <c r="KW81" s="21"/>
      <c r="KX81" s="21"/>
      <c r="KY81" s="21"/>
      <c r="KZ81" s="21"/>
      <c r="LA81" s="21"/>
      <c r="LB81" s="21"/>
      <c r="LC81" s="21"/>
      <c r="LD81" s="21"/>
      <c r="LE81" s="21"/>
      <c r="LF81" s="21"/>
      <c r="LG81" s="21"/>
      <c r="LH81" s="21"/>
      <c r="LI81" s="21"/>
      <c r="LJ81" s="21"/>
      <c r="LK81" s="21"/>
      <c r="LL81" s="21"/>
      <c r="LM81" s="21"/>
      <c r="LN81" s="21"/>
      <c r="LO81" s="21"/>
      <c r="LP81" s="21"/>
      <c r="LQ81" s="21"/>
      <c r="LR81" s="21"/>
      <c r="LS81" s="21"/>
      <c r="LT81" s="21"/>
      <c r="LU81" s="21"/>
      <c r="LV81" s="21"/>
      <c r="LW81" s="21"/>
      <c r="LX81" s="21"/>
      <c r="LY81" s="21"/>
      <c r="LZ81" s="21"/>
      <c r="MA81" s="21"/>
      <c r="MB81" s="21"/>
      <c r="MC81" s="21"/>
      <c r="MD81" s="21"/>
      <c r="ME81" s="21"/>
      <c r="MF81" s="21"/>
      <c r="MG81" s="21"/>
      <c r="MH81" s="21"/>
      <c r="MI81" s="21"/>
      <c r="MJ81" s="21"/>
      <c r="MK81" s="21"/>
      <c r="ML81" s="21"/>
      <c r="MM81" s="21"/>
      <c r="MN81" s="21"/>
      <c r="MO81" s="21"/>
      <c r="MP81" s="21"/>
      <c r="MQ81" s="21"/>
      <c r="MR81" s="21"/>
      <c r="MS81" s="21"/>
      <c r="MT81" s="21"/>
      <c r="MU81" s="21"/>
      <c r="MV81" s="21"/>
      <c r="MW81" s="21"/>
      <c r="MX81" s="21"/>
      <c r="MY81" s="21"/>
      <c r="MZ81" s="21"/>
      <c r="NA81" s="21"/>
      <c r="NB81" s="21"/>
      <c r="NC81" s="21"/>
      <c r="ND81" s="21"/>
      <c r="NE81" s="21"/>
      <c r="NF81" s="21"/>
      <c r="NG81" s="21"/>
      <c r="NH81" s="21"/>
      <c r="NI81" s="21"/>
      <c r="NJ81" s="21"/>
      <c r="NK81" s="21"/>
      <c r="NL81" s="21"/>
      <c r="NM81" s="21"/>
      <c r="NN81" s="21"/>
      <c r="NO81" s="21"/>
      <c r="NP81" s="21"/>
      <c r="NQ81" s="21"/>
      <c r="NR81" s="21"/>
      <c r="NS81" s="21"/>
      <c r="NT81" s="21"/>
      <c r="NU81" s="21"/>
      <c r="NV81" s="21"/>
      <c r="NW81" s="21"/>
      <c r="NX81" s="21"/>
      <c r="NY81" s="21"/>
      <c r="NZ81" s="21"/>
      <c r="OA81" s="21"/>
      <c r="OB81" s="21"/>
      <c r="OC81" s="21"/>
      <c r="OD81" s="21"/>
      <c r="OE81" s="21"/>
      <c r="OF81" s="21"/>
      <c r="OG81" s="21"/>
      <c r="OH81" s="21"/>
      <c r="OI81" s="21"/>
      <c r="OJ81" s="21"/>
      <c r="OK81" s="21"/>
      <c r="OL81" s="21"/>
      <c r="OM81" s="21"/>
      <c r="ON81" s="21"/>
      <c r="OO81" s="21"/>
      <c r="OP81" s="21"/>
      <c r="OQ81" s="21"/>
      <c r="OR81" s="21"/>
      <c r="OS81" s="21"/>
      <c r="OT81" s="21"/>
      <c r="OU81" s="21"/>
      <c r="OV81" s="21"/>
      <c r="OW81" s="21"/>
      <c r="OX81" s="21"/>
      <c r="OY81" s="21"/>
      <c r="OZ81" s="21"/>
      <c r="PA81" s="21"/>
      <c r="PB81" s="21"/>
      <c r="PC81" s="21"/>
      <c r="PD81" s="21"/>
      <c r="PE81" s="21"/>
      <c r="PF81" s="21"/>
      <c r="PG81" s="21"/>
      <c r="PH81" s="21"/>
      <c r="PI81" s="21"/>
      <c r="PJ81" s="21"/>
      <c r="PK81" s="21"/>
      <c r="PL81" s="21"/>
      <c r="PM81" s="21"/>
      <c r="PN81" s="21"/>
      <c r="PO81" s="21"/>
      <c r="PP81" s="21"/>
      <c r="PQ81" s="21"/>
      <c r="PR81" s="21"/>
      <c r="PS81" s="21"/>
      <c r="PT81" s="21"/>
      <c r="PU81" s="21"/>
      <c r="PV81" s="21"/>
      <c r="PW81" s="21"/>
      <c r="PX81" s="21"/>
      <c r="PY81" s="21"/>
      <c r="PZ81" s="21"/>
      <c r="QA81" s="21"/>
      <c r="QB81" s="21"/>
      <c r="QC81" s="21"/>
      <c r="QD81" s="21"/>
      <c r="QE81" s="21"/>
      <c r="QF81" s="21"/>
      <c r="QG81" s="21"/>
      <c r="QH81" s="21"/>
      <c r="QI81" s="21"/>
      <c r="QJ81" s="21"/>
      <c r="QK81" s="21"/>
      <c r="QL81" s="21"/>
      <c r="QM81" s="21"/>
      <c r="QN81" s="21"/>
      <c r="QO81" s="21"/>
      <c r="QP81" s="21"/>
      <c r="QQ81" s="21"/>
      <c r="QR81" s="21"/>
      <c r="QS81" s="21"/>
      <c r="QT81" s="21"/>
      <c r="QU81" s="21"/>
      <c r="QV81" s="21"/>
      <c r="QW81" s="21"/>
      <c r="QX81" s="21"/>
      <c r="QY81" s="21"/>
      <c r="QZ81" s="21"/>
      <c r="RA81" s="21"/>
      <c r="RB81" s="21"/>
      <c r="RC81" s="21"/>
      <c r="RD81" s="21"/>
      <c r="RE81" s="21"/>
      <c r="RF81" s="21"/>
      <c r="RG81" s="21"/>
      <c r="RH81" s="21"/>
      <c r="RI81" s="21"/>
      <c r="RJ81" s="21"/>
      <c r="RK81" s="21"/>
      <c r="RL81" s="21"/>
      <c r="RM81" s="21"/>
      <c r="RN81" s="21"/>
      <c r="RO81" s="21"/>
      <c r="RP81" s="21"/>
      <c r="RQ81" s="21"/>
      <c r="RR81" s="21"/>
      <c r="RS81" s="21"/>
      <c r="RT81" s="21"/>
      <c r="RU81" s="21"/>
      <c r="RV81" s="21"/>
      <c r="RW81" s="21"/>
      <c r="RX81" s="21"/>
      <c r="RY81" s="21"/>
      <c r="RZ81" s="21"/>
      <c r="SA81" s="21"/>
      <c r="SB81" s="21"/>
      <c r="SC81" s="21"/>
      <c r="SD81" s="21"/>
      <c r="SE81" s="21"/>
      <c r="SF81" s="21"/>
      <c r="SG81" s="21"/>
      <c r="SH81" s="21"/>
      <c r="SI81" s="21"/>
      <c r="SJ81" s="21"/>
      <c r="SK81" s="21"/>
      <c r="SL81" s="21"/>
      <c r="SM81" s="21"/>
      <c r="SN81" s="21"/>
      <c r="SO81" s="21"/>
      <c r="SP81" s="21"/>
      <c r="SQ81" s="21"/>
      <c r="SR81" s="21"/>
      <c r="SS81" s="21"/>
      <c r="ST81" s="21"/>
      <c r="SU81" s="21"/>
      <c r="SV81" s="21"/>
      <c r="SW81" s="21"/>
      <c r="SX81" s="21"/>
      <c r="SY81" s="21"/>
      <c r="SZ81" s="21"/>
      <c r="TA81" s="21"/>
      <c r="TB81" s="21"/>
      <c r="TC81" s="21"/>
      <c r="TD81" s="21"/>
      <c r="TE81" s="21"/>
      <c r="TF81" s="21"/>
      <c r="TG81" s="21"/>
      <c r="TH81" s="21"/>
      <c r="TI81" s="21"/>
      <c r="TJ81" s="21"/>
      <c r="TK81" s="21"/>
      <c r="TL81" s="21"/>
      <c r="TM81" s="21"/>
      <c r="TN81" s="21"/>
      <c r="TO81" s="21"/>
      <c r="TP81" s="21"/>
      <c r="TQ81" s="21"/>
      <c r="TR81" s="21"/>
      <c r="TS81" s="21"/>
      <c r="TT81" s="21"/>
      <c r="TU81" s="21"/>
      <c r="TV81" s="21"/>
      <c r="TW81" s="21"/>
      <c r="TX81" s="21"/>
      <c r="TY81" s="21"/>
      <c r="TZ81" s="21"/>
      <c r="UA81" s="21"/>
      <c r="UB81" s="21"/>
      <c r="UC81" s="21"/>
      <c r="UD81" s="21"/>
      <c r="UE81" s="21"/>
      <c r="UF81" s="21"/>
      <c r="UG81" s="21"/>
      <c r="UH81" s="21"/>
      <c r="UI81" s="21"/>
      <c r="UJ81" s="21"/>
      <c r="UK81" s="21"/>
      <c r="UL81" s="21"/>
      <c r="UM81" s="21"/>
      <c r="UN81" s="21"/>
      <c r="UO81" s="21"/>
      <c r="UP81" s="21"/>
      <c r="UQ81" s="21"/>
      <c r="UR81" s="21"/>
      <c r="US81" s="21"/>
      <c r="UT81" s="21"/>
      <c r="UU81" s="21"/>
      <c r="UV81" s="21"/>
      <c r="UW81" s="21"/>
      <c r="UX81" s="21"/>
      <c r="UY81" s="21"/>
      <c r="UZ81" s="21"/>
      <c r="VA81" s="21"/>
      <c r="VB81" s="21"/>
      <c r="VC81" s="21"/>
      <c r="VD81" s="21"/>
      <c r="VE81" s="21"/>
      <c r="VF81" s="21"/>
      <c r="VG81" s="21"/>
      <c r="VH81" s="21"/>
      <c r="VI81" s="21"/>
      <c r="VJ81" s="21"/>
      <c r="VK81" s="21"/>
      <c r="VL81" s="21"/>
      <c r="VM81" s="21"/>
      <c r="VN81" s="21"/>
      <c r="VO81" s="21"/>
      <c r="VP81" s="21"/>
      <c r="VQ81" s="21"/>
      <c r="VR81" s="21"/>
      <c r="VS81" s="21"/>
      <c r="VT81" s="21"/>
      <c r="VU81" s="21"/>
      <c r="VV81" s="21"/>
      <c r="VW81" s="21"/>
      <c r="VX81" s="21"/>
      <c r="VY81" s="21"/>
      <c r="VZ81" s="21"/>
      <c r="WA81" s="21"/>
      <c r="WB81" s="21"/>
      <c r="WC81" s="21"/>
      <c r="WD81" s="21"/>
      <c r="WE81" s="21"/>
      <c r="WF81" s="21"/>
      <c r="WG81" s="21"/>
      <c r="WH81" s="21"/>
      <c r="WI81" s="21"/>
      <c r="WJ81" s="21"/>
      <c r="WK81" s="21"/>
      <c r="WL81" s="21"/>
      <c r="WM81" s="21"/>
      <c r="WN81" s="21"/>
      <c r="WO81" s="21"/>
      <c r="WP81" s="21"/>
      <c r="WQ81" s="21"/>
      <c r="WR81" s="21"/>
      <c r="WS81" s="21"/>
      <c r="WT81" s="21"/>
      <c r="WU81" s="21"/>
      <c r="WV81" s="21"/>
      <c r="WW81" s="21"/>
      <c r="WX81" s="21"/>
      <c r="WY81" s="21"/>
      <c r="WZ81" s="21"/>
      <c r="XA81" s="21"/>
      <c r="XB81" s="21"/>
      <c r="XC81" s="21"/>
      <c r="XD81" s="21"/>
      <c r="XE81" s="21"/>
      <c r="XF81" s="21"/>
      <c r="XG81" s="21"/>
      <c r="XH81" s="21"/>
      <c r="XI81" s="21"/>
      <c r="XJ81" s="21"/>
      <c r="XK81" s="21"/>
      <c r="XL81" s="21"/>
      <c r="XM81" s="21"/>
      <c r="XN81" s="21"/>
      <c r="XO81" s="21"/>
      <c r="XP81" s="21"/>
      <c r="XQ81" s="21"/>
      <c r="XR81" s="21"/>
      <c r="XS81" s="21"/>
      <c r="XT81" s="21"/>
      <c r="XU81" s="21"/>
      <c r="XV81" s="21"/>
      <c r="XW81" s="21"/>
      <c r="XX81" s="21"/>
      <c r="XY81" s="21"/>
      <c r="XZ81" s="21"/>
      <c r="YA81" s="21"/>
      <c r="YB81" s="21"/>
      <c r="YC81" s="21"/>
      <c r="YD81" s="21"/>
      <c r="YE81" s="21"/>
      <c r="YF81" s="21"/>
      <c r="YG81" s="21"/>
      <c r="YH81" s="21"/>
      <c r="YI81" s="21"/>
      <c r="YJ81" s="21"/>
      <c r="YK81" s="21"/>
      <c r="YL81" s="21"/>
      <c r="YM81" s="21"/>
      <c r="YN81" s="21"/>
      <c r="YO81" s="21"/>
      <c r="YP81" s="21"/>
      <c r="YQ81" s="21"/>
      <c r="YR81" s="21"/>
      <c r="YS81" s="21"/>
      <c r="YT81" s="21"/>
      <c r="YU81" s="21"/>
      <c r="YV81" s="21"/>
      <c r="YW81" s="21"/>
      <c r="YX81" s="21"/>
      <c r="YY81" s="21"/>
      <c r="YZ81" s="21"/>
      <c r="ZA81" s="21"/>
      <c r="ZB81" s="21"/>
      <c r="ZC81" s="21"/>
      <c r="ZD81" s="21"/>
      <c r="ZE81" s="21"/>
      <c r="ZF81" s="21"/>
      <c r="ZG81" s="21"/>
      <c r="ZH81" s="21"/>
      <c r="ZI81" s="21"/>
      <c r="ZJ81" s="21"/>
      <c r="ZK81" s="21"/>
      <c r="ZL81" s="21"/>
      <c r="ZM81" s="21"/>
      <c r="ZN81" s="21"/>
      <c r="ZO81" s="21"/>
      <c r="ZP81" s="21"/>
      <c r="ZQ81" s="21"/>
      <c r="ZR81" s="21"/>
      <c r="ZS81" s="21"/>
      <c r="ZT81" s="21"/>
      <c r="ZU81" s="21"/>
      <c r="ZV81" s="21"/>
      <c r="ZW81" s="21"/>
      <c r="ZX81" s="21"/>
      <c r="ZY81" s="21"/>
      <c r="ZZ81" s="21"/>
      <c r="AAA81" s="21"/>
      <c r="AAB81" s="21"/>
      <c r="AAC81" s="21"/>
      <c r="AAD81" s="21"/>
      <c r="AAE81" s="21"/>
      <c r="AAF81" s="21"/>
      <c r="AAG81" s="21"/>
      <c r="AAH81" s="21"/>
      <c r="AAI81" s="21"/>
      <c r="AAJ81" s="21"/>
      <c r="AAK81" s="21"/>
      <c r="AAL81" s="21"/>
      <c r="AAM81" s="21"/>
      <c r="AAN81" s="21"/>
      <c r="AAO81" s="21"/>
      <c r="AAP81" s="21"/>
      <c r="AAQ81" s="21"/>
      <c r="AAR81" s="21"/>
      <c r="AAS81" s="21"/>
      <c r="AAT81" s="21"/>
      <c r="AAU81" s="21"/>
      <c r="AAV81" s="21"/>
      <c r="AAW81" s="21"/>
      <c r="AAX81" s="21"/>
      <c r="AAY81" s="21"/>
      <c r="AAZ81" s="21"/>
      <c r="ABA81" s="21"/>
      <c r="ABB81" s="21"/>
      <c r="ABC81" s="21"/>
      <c r="ABD81" s="21"/>
      <c r="ABE81" s="21"/>
      <c r="ABF81" s="21"/>
      <c r="ABG81" s="21"/>
      <c r="ABH81" s="21"/>
      <c r="ABI81" s="21"/>
      <c r="ABJ81" s="21"/>
      <c r="ABK81" s="21"/>
      <c r="ABL81" s="21"/>
      <c r="ABM81" s="21"/>
      <c r="ABN81" s="21"/>
      <c r="ABO81" s="21"/>
      <c r="ABP81" s="21"/>
      <c r="ABQ81" s="21"/>
      <c r="ABR81" s="21"/>
      <c r="ABS81" s="21"/>
      <c r="ABT81" s="21"/>
      <c r="ABU81" s="21"/>
      <c r="ABV81" s="21"/>
      <c r="ABW81" s="21"/>
      <c r="ABX81" s="21"/>
      <c r="ABY81" s="21"/>
      <c r="ABZ81" s="21"/>
      <c r="ACA81" s="21"/>
      <c r="ACB81" s="21"/>
      <c r="ACC81" s="21"/>
      <c r="ACD81" s="21"/>
      <c r="ACE81" s="21"/>
      <c r="ACF81" s="21"/>
      <c r="ACG81" s="21"/>
      <c r="ACH81" s="21"/>
      <c r="ACI81" s="21"/>
      <c r="ACJ81" s="21"/>
      <c r="ACK81" s="21"/>
      <c r="ACL81" s="21"/>
      <c r="ACM81" s="21"/>
      <c r="ACN81" s="21"/>
      <c r="ACO81" s="21"/>
      <c r="ACP81" s="21"/>
      <c r="ACQ81" s="21"/>
      <c r="ACR81" s="21"/>
      <c r="ACS81" s="21"/>
      <c r="ACT81" s="21"/>
      <c r="ACU81" s="21"/>
      <c r="ACV81" s="21"/>
      <c r="ACW81" s="21"/>
      <c r="ACX81" s="21"/>
      <c r="ACY81" s="21"/>
      <c r="ACZ81" s="21"/>
      <c r="ADA81" s="21"/>
      <c r="ADB81" s="21"/>
      <c r="ADC81" s="21"/>
      <c r="ADD81" s="21"/>
      <c r="ADE81" s="21"/>
      <c r="ADF81" s="21"/>
      <c r="ADG81" s="21"/>
      <c r="ADH81" s="21"/>
      <c r="ADI81" s="21"/>
      <c r="ADJ81" s="21"/>
      <c r="ADK81" s="21"/>
      <c r="ADL81" s="21"/>
      <c r="ADM81" s="21"/>
      <c r="ADN81" s="21"/>
      <c r="ADO81" s="21"/>
      <c r="ADP81" s="21"/>
      <c r="ADQ81" s="21"/>
      <c r="ADR81" s="21"/>
      <c r="ADS81" s="21"/>
      <c r="ADT81" s="21"/>
      <c r="ADU81" s="21"/>
      <c r="ADV81" s="21"/>
      <c r="ADW81" s="21"/>
      <c r="ADX81" s="21"/>
      <c r="ADY81" s="21"/>
      <c r="ADZ81" s="21"/>
      <c r="AEA81" s="21"/>
      <c r="AEB81" s="21"/>
      <c r="AEC81" s="21"/>
      <c r="AED81" s="21"/>
      <c r="AEE81" s="21"/>
      <c r="AEF81" s="21"/>
      <c r="AEG81" s="21"/>
    </row>
    <row r="82" spans="1:813" s="93" customFormat="1" ht="135" x14ac:dyDescent="0.25">
      <c r="A82" s="181"/>
      <c r="B82" s="81" t="s">
        <v>324</v>
      </c>
      <c r="C82" s="80" t="s">
        <v>333</v>
      </c>
      <c r="D82" s="74" t="s">
        <v>332</v>
      </c>
      <c r="E82" s="118" t="s">
        <v>331</v>
      </c>
      <c r="F82" s="117"/>
      <c r="G82" s="32"/>
      <c r="H82" s="32"/>
      <c r="I82" s="32"/>
      <c r="J82" s="32"/>
      <c r="K82" s="32"/>
      <c r="L82" s="32">
        <v>205</v>
      </c>
      <c r="M82" s="32"/>
      <c r="N82" s="32">
        <v>360</v>
      </c>
      <c r="O82" s="32"/>
      <c r="P82" s="32"/>
      <c r="Q82" s="32"/>
      <c r="R82" s="32">
        <v>400</v>
      </c>
      <c r="S82" s="32"/>
      <c r="T82" s="32"/>
      <c r="U82" s="32"/>
      <c r="V82" s="32"/>
      <c r="W82" s="32"/>
      <c r="X82" s="32"/>
      <c r="Y82" s="32"/>
      <c r="Z82" s="32">
        <v>20</v>
      </c>
      <c r="AA82" s="32"/>
      <c r="AB82" s="32"/>
      <c r="AC82" s="32"/>
      <c r="AD82" s="32"/>
      <c r="AE82" s="32"/>
      <c r="AF82" s="32">
        <f t="shared" si="21"/>
        <v>985</v>
      </c>
      <c r="AG82" s="32"/>
      <c r="AH82" s="32"/>
      <c r="AI82" s="32">
        <v>225</v>
      </c>
      <c r="AJ82" s="31">
        <v>75194.529449867623</v>
      </c>
      <c r="AK82" s="31">
        <v>6125.1031135052954</v>
      </c>
      <c r="AL82" s="31">
        <v>81319.632563372914</v>
      </c>
      <c r="AM82" s="30" t="s">
        <v>18</v>
      </c>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21"/>
      <c r="IR82" s="21"/>
      <c r="IS82" s="21"/>
      <c r="IT82" s="21"/>
      <c r="IU82" s="21"/>
      <c r="IV82" s="21"/>
      <c r="IW82" s="21"/>
      <c r="IX82" s="21"/>
      <c r="IY82" s="21"/>
      <c r="IZ82" s="21"/>
      <c r="JA82" s="21"/>
      <c r="JB82" s="21"/>
      <c r="JC82" s="21"/>
      <c r="JD82" s="21"/>
      <c r="JE82" s="21"/>
      <c r="JF82" s="21"/>
      <c r="JG82" s="21"/>
      <c r="JH82" s="21"/>
      <c r="JI82" s="21"/>
      <c r="JJ82" s="21"/>
      <c r="JK82" s="21"/>
      <c r="JL82" s="21"/>
      <c r="JM82" s="21"/>
      <c r="JN82" s="21"/>
      <c r="JO82" s="21"/>
      <c r="JP82" s="21"/>
      <c r="JQ82" s="21"/>
      <c r="JR82" s="21"/>
      <c r="JS82" s="21"/>
      <c r="JT82" s="21"/>
      <c r="JU82" s="21"/>
      <c r="JV82" s="21"/>
      <c r="JW82" s="21"/>
      <c r="JX82" s="21"/>
      <c r="JY82" s="21"/>
      <c r="JZ82" s="21"/>
      <c r="KA82" s="21"/>
      <c r="KB82" s="21"/>
      <c r="KC82" s="21"/>
      <c r="KD82" s="21"/>
      <c r="KE82" s="21"/>
      <c r="KF82" s="21"/>
      <c r="KG82" s="21"/>
      <c r="KH82" s="21"/>
      <c r="KI82" s="21"/>
      <c r="KJ82" s="21"/>
      <c r="KK82" s="21"/>
      <c r="KL82" s="21"/>
      <c r="KM82" s="21"/>
      <c r="KN82" s="21"/>
      <c r="KO82" s="21"/>
      <c r="KP82" s="21"/>
      <c r="KQ82" s="21"/>
      <c r="KR82" s="21"/>
      <c r="KS82" s="21"/>
      <c r="KT82" s="21"/>
      <c r="KU82" s="21"/>
      <c r="KV82" s="21"/>
      <c r="KW82" s="21"/>
      <c r="KX82" s="21"/>
      <c r="KY82" s="21"/>
      <c r="KZ82" s="21"/>
      <c r="LA82" s="21"/>
      <c r="LB82" s="21"/>
      <c r="LC82" s="21"/>
      <c r="LD82" s="21"/>
      <c r="LE82" s="21"/>
      <c r="LF82" s="21"/>
      <c r="LG82" s="21"/>
      <c r="LH82" s="21"/>
      <c r="LI82" s="21"/>
      <c r="LJ82" s="21"/>
      <c r="LK82" s="21"/>
      <c r="LL82" s="21"/>
      <c r="LM82" s="21"/>
      <c r="LN82" s="21"/>
      <c r="LO82" s="21"/>
      <c r="LP82" s="21"/>
      <c r="LQ82" s="21"/>
      <c r="LR82" s="21"/>
      <c r="LS82" s="21"/>
      <c r="LT82" s="21"/>
      <c r="LU82" s="21"/>
      <c r="LV82" s="21"/>
      <c r="LW82" s="21"/>
      <c r="LX82" s="21"/>
      <c r="LY82" s="21"/>
      <c r="LZ82" s="21"/>
      <c r="MA82" s="21"/>
      <c r="MB82" s="21"/>
      <c r="MC82" s="21"/>
      <c r="MD82" s="21"/>
      <c r="ME82" s="21"/>
      <c r="MF82" s="21"/>
      <c r="MG82" s="21"/>
      <c r="MH82" s="21"/>
      <c r="MI82" s="21"/>
      <c r="MJ82" s="21"/>
      <c r="MK82" s="21"/>
      <c r="ML82" s="21"/>
      <c r="MM82" s="21"/>
      <c r="MN82" s="21"/>
      <c r="MO82" s="21"/>
      <c r="MP82" s="21"/>
      <c r="MQ82" s="21"/>
      <c r="MR82" s="21"/>
      <c r="MS82" s="21"/>
      <c r="MT82" s="21"/>
      <c r="MU82" s="21"/>
      <c r="MV82" s="21"/>
      <c r="MW82" s="21"/>
      <c r="MX82" s="21"/>
      <c r="MY82" s="21"/>
      <c r="MZ82" s="21"/>
      <c r="NA82" s="21"/>
      <c r="NB82" s="21"/>
      <c r="NC82" s="21"/>
      <c r="ND82" s="21"/>
      <c r="NE82" s="21"/>
      <c r="NF82" s="21"/>
      <c r="NG82" s="21"/>
      <c r="NH82" s="21"/>
      <c r="NI82" s="21"/>
      <c r="NJ82" s="21"/>
      <c r="NK82" s="21"/>
      <c r="NL82" s="21"/>
      <c r="NM82" s="21"/>
      <c r="NN82" s="21"/>
      <c r="NO82" s="21"/>
      <c r="NP82" s="21"/>
      <c r="NQ82" s="21"/>
      <c r="NR82" s="21"/>
      <c r="NS82" s="21"/>
      <c r="NT82" s="21"/>
      <c r="NU82" s="21"/>
      <c r="NV82" s="21"/>
      <c r="NW82" s="21"/>
      <c r="NX82" s="21"/>
      <c r="NY82" s="21"/>
      <c r="NZ82" s="21"/>
      <c r="OA82" s="21"/>
      <c r="OB82" s="21"/>
      <c r="OC82" s="21"/>
      <c r="OD82" s="21"/>
      <c r="OE82" s="21"/>
      <c r="OF82" s="21"/>
      <c r="OG82" s="21"/>
      <c r="OH82" s="21"/>
      <c r="OI82" s="21"/>
      <c r="OJ82" s="21"/>
      <c r="OK82" s="21"/>
      <c r="OL82" s="21"/>
      <c r="OM82" s="21"/>
      <c r="ON82" s="21"/>
      <c r="OO82" s="21"/>
      <c r="OP82" s="21"/>
      <c r="OQ82" s="21"/>
      <c r="OR82" s="21"/>
      <c r="OS82" s="21"/>
      <c r="OT82" s="21"/>
      <c r="OU82" s="21"/>
      <c r="OV82" s="21"/>
      <c r="OW82" s="21"/>
      <c r="OX82" s="21"/>
      <c r="OY82" s="21"/>
      <c r="OZ82" s="21"/>
      <c r="PA82" s="21"/>
      <c r="PB82" s="21"/>
      <c r="PC82" s="21"/>
      <c r="PD82" s="21"/>
      <c r="PE82" s="21"/>
      <c r="PF82" s="21"/>
      <c r="PG82" s="21"/>
      <c r="PH82" s="21"/>
      <c r="PI82" s="21"/>
      <c r="PJ82" s="21"/>
      <c r="PK82" s="21"/>
      <c r="PL82" s="21"/>
      <c r="PM82" s="21"/>
      <c r="PN82" s="21"/>
      <c r="PO82" s="21"/>
      <c r="PP82" s="21"/>
      <c r="PQ82" s="21"/>
      <c r="PR82" s="21"/>
      <c r="PS82" s="21"/>
      <c r="PT82" s="21"/>
      <c r="PU82" s="21"/>
      <c r="PV82" s="21"/>
      <c r="PW82" s="21"/>
      <c r="PX82" s="21"/>
      <c r="PY82" s="21"/>
      <c r="PZ82" s="21"/>
      <c r="QA82" s="21"/>
      <c r="QB82" s="21"/>
      <c r="QC82" s="21"/>
      <c r="QD82" s="21"/>
      <c r="QE82" s="21"/>
      <c r="QF82" s="21"/>
      <c r="QG82" s="21"/>
      <c r="QH82" s="21"/>
      <c r="QI82" s="21"/>
      <c r="QJ82" s="21"/>
      <c r="QK82" s="21"/>
      <c r="QL82" s="21"/>
      <c r="QM82" s="21"/>
      <c r="QN82" s="21"/>
      <c r="QO82" s="21"/>
      <c r="QP82" s="21"/>
      <c r="QQ82" s="21"/>
      <c r="QR82" s="21"/>
      <c r="QS82" s="21"/>
      <c r="QT82" s="21"/>
      <c r="QU82" s="21"/>
      <c r="QV82" s="21"/>
      <c r="QW82" s="21"/>
      <c r="QX82" s="21"/>
      <c r="QY82" s="21"/>
      <c r="QZ82" s="21"/>
      <c r="RA82" s="21"/>
      <c r="RB82" s="21"/>
      <c r="RC82" s="21"/>
      <c r="RD82" s="21"/>
      <c r="RE82" s="21"/>
      <c r="RF82" s="21"/>
      <c r="RG82" s="21"/>
      <c r="RH82" s="21"/>
      <c r="RI82" s="21"/>
      <c r="RJ82" s="21"/>
      <c r="RK82" s="21"/>
      <c r="RL82" s="21"/>
      <c r="RM82" s="21"/>
      <c r="RN82" s="21"/>
      <c r="RO82" s="21"/>
      <c r="RP82" s="21"/>
      <c r="RQ82" s="21"/>
      <c r="RR82" s="21"/>
      <c r="RS82" s="21"/>
      <c r="RT82" s="21"/>
      <c r="RU82" s="21"/>
      <c r="RV82" s="21"/>
      <c r="RW82" s="21"/>
      <c r="RX82" s="21"/>
      <c r="RY82" s="21"/>
      <c r="RZ82" s="21"/>
      <c r="SA82" s="21"/>
      <c r="SB82" s="21"/>
      <c r="SC82" s="21"/>
      <c r="SD82" s="21"/>
      <c r="SE82" s="21"/>
      <c r="SF82" s="21"/>
      <c r="SG82" s="21"/>
      <c r="SH82" s="21"/>
      <c r="SI82" s="21"/>
      <c r="SJ82" s="21"/>
      <c r="SK82" s="21"/>
      <c r="SL82" s="21"/>
      <c r="SM82" s="21"/>
      <c r="SN82" s="21"/>
      <c r="SO82" s="21"/>
      <c r="SP82" s="21"/>
      <c r="SQ82" s="21"/>
      <c r="SR82" s="21"/>
      <c r="SS82" s="21"/>
      <c r="ST82" s="21"/>
      <c r="SU82" s="21"/>
      <c r="SV82" s="21"/>
      <c r="SW82" s="21"/>
      <c r="SX82" s="21"/>
      <c r="SY82" s="21"/>
      <c r="SZ82" s="21"/>
      <c r="TA82" s="21"/>
      <c r="TB82" s="21"/>
      <c r="TC82" s="21"/>
      <c r="TD82" s="21"/>
      <c r="TE82" s="21"/>
      <c r="TF82" s="21"/>
      <c r="TG82" s="21"/>
      <c r="TH82" s="21"/>
      <c r="TI82" s="21"/>
      <c r="TJ82" s="21"/>
      <c r="TK82" s="21"/>
      <c r="TL82" s="21"/>
      <c r="TM82" s="21"/>
      <c r="TN82" s="21"/>
      <c r="TO82" s="21"/>
      <c r="TP82" s="21"/>
      <c r="TQ82" s="21"/>
      <c r="TR82" s="21"/>
      <c r="TS82" s="21"/>
      <c r="TT82" s="21"/>
      <c r="TU82" s="21"/>
      <c r="TV82" s="21"/>
      <c r="TW82" s="21"/>
      <c r="TX82" s="21"/>
      <c r="TY82" s="21"/>
      <c r="TZ82" s="21"/>
      <c r="UA82" s="21"/>
      <c r="UB82" s="21"/>
      <c r="UC82" s="21"/>
      <c r="UD82" s="21"/>
      <c r="UE82" s="21"/>
      <c r="UF82" s="21"/>
      <c r="UG82" s="21"/>
      <c r="UH82" s="21"/>
      <c r="UI82" s="21"/>
      <c r="UJ82" s="21"/>
      <c r="UK82" s="21"/>
      <c r="UL82" s="21"/>
      <c r="UM82" s="21"/>
      <c r="UN82" s="21"/>
      <c r="UO82" s="21"/>
      <c r="UP82" s="21"/>
      <c r="UQ82" s="21"/>
      <c r="UR82" s="21"/>
      <c r="US82" s="21"/>
      <c r="UT82" s="21"/>
      <c r="UU82" s="21"/>
      <c r="UV82" s="21"/>
      <c r="UW82" s="21"/>
      <c r="UX82" s="21"/>
      <c r="UY82" s="21"/>
      <c r="UZ82" s="21"/>
      <c r="VA82" s="21"/>
      <c r="VB82" s="21"/>
      <c r="VC82" s="21"/>
      <c r="VD82" s="21"/>
      <c r="VE82" s="21"/>
      <c r="VF82" s="21"/>
      <c r="VG82" s="21"/>
      <c r="VH82" s="21"/>
      <c r="VI82" s="21"/>
      <c r="VJ82" s="21"/>
      <c r="VK82" s="21"/>
      <c r="VL82" s="21"/>
      <c r="VM82" s="21"/>
      <c r="VN82" s="21"/>
      <c r="VO82" s="21"/>
      <c r="VP82" s="21"/>
      <c r="VQ82" s="21"/>
      <c r="VR82" s="21"/>
      <c r="VS82" s="21"/>
      <c r="VT82" s="21"/>
      <c r="VU82" s="21"/>
      <c r="VV82" s="21"/>
      <c r="VW82" s="21"/>
      <c r="VX82" s="21"/>
      <c r="VY82" s="21"/>
      <c r="VZ82" s="21"/>
      <c r="WA82" s="21"/>
      <c r="WB82" s="21"/>
      <c r="WC82" s="21"/>
      <c r="WD82" s="21"/>
      <c r="WE82" s="21"/>
      <c r="WF82" s="21"/>
      <c r="WG82" s="21"/>
      <c r="WH82" s="21"/>
      <c r="WI82" s="21"/>
      <c r="WJ82" s="21"/>
      <c r="WK82" s="21"/>
      <c r="WL82" s="21"/>
      <c r="WM82" s="21"/>
      <c r="WN82" s="21"/>
      <c r="WO82" s="21"/>
      <c r="WP82" s="21"/>
      <c r="WQ82" s="21"/>
      <c r="WR82" s="21"/>
      <c r="WS82" s="21"/>
      <c r="WT82" s="21"/>
      <c r="WU82" s="21"/>
      <c r="WV82" s="21"/>
      <c r="WW82" s="21"/>
      <c r="WX82" s="21"/>
      <c r="WY82" s="21"/>
      <c r="WZ82" s="21"/>
      <c r="XA82" s="21"/>
      <c r="XB82" s="21"/>
      <c r="XC82" s="21"/>
      <c r="XD82" s="21"/>
      <c r="XE82" s="21"/>
      <c r="XF82" s="21"/>
      <c r="XG82" s="21"/>
      <c r="XH82" s="21"/>
      <c r="XI82" s="21"/>
      <c r="XJ82" s="21"/>
      <c r="XK82" s="21"/>
      <c r="XL82" s="21"/>
      <c r="XM82" s="21"/>
      <c r="XN82" s="21"/>
      <c r="XO82" s="21"/>
      <c r="XP82" s="21"/>
      <c r="XQ82" s="21"/>
      <c r="XR82" s="21"/>
      <c r="XS82" s="21"/>
      <c r="XT82" s="21"/>
      <c r="XU82" s="21"/>
      <c r="XV82" s="21"/>
      <c r="XW82" s="21"/>
      <c r="XX82" s="21"/>
      <c r="XY82" s="21"/>
      <c r="XZ82" s="21"/>
      <c r="YA82" s="21"/>
      <c r="YB82" s="21"/>
      <c r="YC82" s="21"/>
      <c r="YD82" s="21"/>
      <c r="YE82" s="21"/>
      <c r="YF82" s="21"/>
      <c r="YG82" s="21"/>
      <c r="YH82" s="21"/>
      <c r="YI82" s="21"/>
      <c r="YJ82" s="21"/>
      <c r="YK82" s="21"/>
      <c r="YL82" s="21"/>
      <c r="YM82" s="21"/>
      <c r="YN82" s="21"/>
      <c r="YO82" s="21"/>
      <c r="YP82" s="21"/>
      <c r="YQ82" s="21"/>
      <c r="YR82" s="21"/>
      <c r="YS82" s="21"/>
      <c r="YT82" s="21"/>
      <c r="YU82" s="21"/>
      <c r="YV82" s="21"/>
      <c r="YW82" s="21"/>
      <c r="YX82" s="21"/>
      <c r="YY82" s="21"/>
      <c r="YZ82" s="21"/>
      <c r="ZA82" s="21"/>
      <c r="ZB82" s="21"/>
      <c r="ZC82" s="21"/>
      <c r="ZD82" s="21"/>
      <c r="ZE82" s="21"/>
      <c r="ZF82" s="21"/>
      <c r="ZG82" s="21"/>
      <c r="ZH82" s="21"/>
      <c r="ZI82" s="21"/>
      <c r="ZJ82" s="21"/>
      <c r="ZK82" s="21"/>
      <c r="ZL82" s="21"/>
      <c r="ZM82" s="21"/>
      <c r="ZN82" s="21"/>
      <c r="ZO82" s="21"/>
      <c r="ZP82" s="21"/>
      <c r="ZQ82" s="21"/>
      <c r="ZR82" s="21"/>
      <c r="ZS82" s="21"/>
      <c r="ZT82" s="21"/>
      <c r="ZU82" s="21"/>
      <c r="ZV82" s="21"/>
      <c r="ZW82" s="21"/>
      <c r="ZX82" s="21"/>
      <c r="ZY82" s="21"/>
      <c r="ZZ82" s="21"/>
      <c r="AAA82" s="21"/>
      <c r="AAB82" s="21"/>
      <c r="AAC82" s="21"/>
      <c r="AAD82" s="21"/>
      <c r="AAE82" s="21"/>
      <c r="AAF82" s="21"/>
      <c r="AAG82" s="21"/>
      <c r="AAH82" s="21"/>
      <c r="AAI82" s="21"/>
      <c r="AAJ82" s="21"/>
      <c r="AAK82" s="21"/>
      <c r="AAL82" s="21"/>
      <c r="AAM82" s="21"/>
      <c r="AAN82" s="21"/>
      <c r="AAO82" s="21"/>
      <c r="AAP82" s="21"/>
      <c r="AAQ82" s="21"/>
      <c r="AAR82" s="21"/>
      <c r="AAS82" s="21"/>
      <c r="AAT82" s="21"/>
      <c r="AAU82" s="21"/>
      <c r="AAV82" s="21"/>
      <c r="AAW82" s="21"/>
      <c r="AAX82" s="21"/>
      <c r="AAY82" s="21"/>
      <c r="AAZ82" s="21"/>
      <c r="ABA82" s="21"/>
      <c r="ABB82" s="21"/>
      <c r="ABC82" s="21"/>
      <c r="ABD82" s="21"/>
      <c r="ABE82" s="21"/>
      <c r="ABF82" s="21"/>
      <c r="ABG82" s="21"/>
      <c r="ABH82" s="21"/>
      <c r="ABI82" s="21"/>
      <c r="ABJ82" s="21"/>
      <c r="ABK82" s="21"/>
      <c r="ABL82" s="21"/>
      <c r="ABM82" s="21"/>
      <c r="ABN82" s="21"/>
      <c r="ABO82" s="21"/>
      <c r="ABP82" s="21"/>
      <c r="ABQ82" s="21"/>
      <c r="ABR82" s="21"/>
      <c r="ABS82" s="21"/>
      <c r="ABT82" s="21"/>
      <c r="ABU82" s="21"/>
      <c r="ABV82" s="21"/>
      <c r="ABW82" s="21"/>
      <c r="ABX82" s="21"/>
      <c r="ABY82" s="21"/>
      <c r="ABZ82" s="21"/>
      <c r="ACA82" s="21"/>
      <c r="ACB82" s="21"/>
      <c r="ACC82" s="21"/>
      <c r="ACD82" s="21"/>
      <c r="ACE82" s="21"/>
      <c r="ACF82" s="21"/>
      <c r="ACG82" s="21"/>
      <c r="ACH82" s="21"/>
      <c r="ACI82" s="21"/>
      <c r="ACJ82" s="21"/>
      <c r="ACK82" s="21"/>
      <c r="ACL82" s="21"/>
      <c r="ACM82" s="21"/>
      <c r="ACN82" s="21"/>
      <c r="ACO82" s="21"/>
      <c r="ACP82" s="21"/>
      <c r="ACQ82" s="21"/>
      <c r="ACR82" s="21"/>
      <c r="ACS82" s="21"/>
      <c r="ACT82" s="21"/>
      <c r="ACU82" s="21"/>
      <c r="ACV82" s="21"/>
      <c r="ACW82" s="21"/>
      <c r="ACX82" s="21"/>
      <c r="ACY82" s="21"/>
      <c r="ACZ82" s="21"/>
      <c r="ADA82" s="21"/>
      <c r="ADB82" s="21"/>
      <c r="ADC82" s="21"/>
      <c r="ADD82" s="21"/>
      <c r="ADE82" s="21"/>
      <c r="ADF82" s="21"/>
      <c r="ADG82" s="21"/>
      <c r="ADH82" s="21"/>
      <c r="ADI82" s="21"/>
      <c r="ADJ82" s="21"/>
      <c r="ADK82" s="21"/>
      <c r="ADL82" s="21"/>
      <c r="ADM82" s="21"/>
      <c r="ADN82" s="21"/>
      <c r="ADO82" s="21"/>
      <c r="ADP82" s="21"/>
      <c r="ADQ82" s="21"/>
      <c r="ADR82" s="21"/>
      <c r="ADS82" s="21"/>
      <c r="ADT82" s="21"/>
      <c r="ADU82" s="21"/>
      <c r="ADV82" s="21"/>
      <c r="ADW82" s="21"/>
      <c r="ADX82" s="21"/>
      <c r="ADY82" s="21"/>
      <c r="ADZ82" s="21"/>
      <c r="AEA82" s="21"/>
      <c r="AEB82" s="21"/>
      <c r="AEC82" s="21"/>
      <c r="AED82" s="21"/>
      <c r="AEE82" s="21"/>
      <c r="AEF82" s="21"/>
      <c r="AEG82" s="21"/>
    </row>
    <row r="83" spans="1:813" s="93" customFormat="1" ht="60" x14ac:dyDescent="0.25">
      <c r="A83" s="181"/>
      <c r="B83" s="81" t="s">
        <v>324</v>
      </c>
      <c r="C83" s="80" t="s">
        <v>330</v>
      </c>
      <c r="D83" s="74" t="s">
        <v>329</v>
      </c>
      <c r="E83" s="36" t="s">
        <v>328</v>
      </c>
      <c r="F83" s="63"/>
      <c r="G83" s="32"/>
      <c r="H83" s="32"/>
      <c r="I83" s="32"/>
      <c r="J83" s="32">
        <v>105</v>
      </c>
      <c r="K83" s="32"/>
      <c r="L83" s="32">
        <v>280</v>
      </c>
      <c r="M83" s="32"/>
      <c r="N83" s="32"/>
      <c r="O83" s="32"/>
      <c r="P83" s="32"/>
      <c r="Q83" s="32"/>
      <c r="R83" s="32"/>
      <c r="S83" s="32"/>
      <c r="T83" s="32"/>
      <c r="U83" s="32"/>
      <c r="V83" s="32"/>
      <c r="W83" s="32"/>
      <c r="X83" s="32">
        <v>70</v>
      </c>
      <c r="Y83" s="32"/>
      <c r="Z83" s="32">
        <v>35</v>
      </c>
      <c r="AA83" s="32"/>
      <c r="AB83" s="32"/>
      <c r="AC83" s="32"/>
      <c r="AD83" s="32"/>
      <c r="AE83" s="32"/>
      <c r="AF83" s="32">
        <f t="shared" si="21"/>
        <v>490</v>
      </c>
      <c r="AG83" s="32"/>
      <c r="AH83" s="32"/>
      <c r="AI83" s="32">
        <v>410</v>
      </c>
      <c r="AJ83" s="31">
        <v>57701.469485045287</v>
      </c>
      <c r="AK83" s="31">
        <v>4700.175039093936</v>
      </c>
      <c r="AL83" s="31">
        <v>62401.644524139221</v>
      </c>
      <c r="AM83" s="30" t="s">
        <v>18</v>
      </c>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c r="HO83" s="21"/>
      <c r="HP83" s="21"/>
      <c r="HQ83" s="21"/>
      <c r="HR83" s="21"/>
      <c r="HS83" s="21"/>
      <c r="HT83" s="21"/>
      <c r="HU83" s="21"/>
      <c r="HV83" s="21"/>
      <c r="HW83" s="21"/>
      <c r="HX83" s="21"/>
      <c r="HY83" s="21"/>
      <c r="HZ83" s="21"/>
      <c r="IA83" s="21"/>
      <c r="IB83" s="21"/>
      <c r="IC83" s="21"/>
      <c r="ID83" s="21"/>
      <c r="IE83" s="21"/>
      <c r="IF83" s="21"/>
      <c r="IG83" s="21"/>
      <c r="IH83" s="21"/>
      <c r="II83" s="21"/>
      <c r="IJ83" s="21"/>
      <c r="IK83" s="21"/>
      <c r="IL83" s="21"/>
      <c r="IM83" s="21"/>
      <c r="IN83" s="21"/>
      <c r="IO83" s="21"/>
      <c r="IP83" s="21"/>
      <c r="IQ83" s="21"/>
      <c r="IR83" s="21"/>
      <c r="IS83" s="21"/>
      <c r="IT83" s="21"/>
      <c r="IU83" s="21"/>
      <c r="IV83" s="21"/>
      <c r="IW83" s="21"/>
      <c r="IX83" s="21"/>
      <c r="IY83" s="21"/>
      <c r="IZ83" s="21"/>
      <c r="JA83" s="21"/>
      <c r="JB83" s="21"/>
      <c r="JC83" s="21"/>
      <c r="JD83" s="21"/>
      <c r="JE83" s="21"/>
      <c r="JF83" s="21"/>
      <c r="JG83" s="21"/>
      <c r="JH83" s="21"/>
      <c r="JI83" s="21"/>
      <c r="JJ83" s="21"/>
      <c r="JK83" s="21"/>
      <c r="JL83" s="21"/>
      <c r="JM83" s="21"/>
      <c r="JN83" s="21"/>
      <c r="JO83" s="21"/>
      <c r="JP83" s="21"/>
      <c r="JQ83" s="21"/>
      <c r="JR83" s="21"/>
      <c r="JS83" s="21"/>
      <c r="JT83" s="21"/>
      <c r="JU83" s="21"/>
      <c r="JV83" s="21"/>
      <c r="JW83" s="21"/>
      <c r="JX83" s="21"/>
      <c r="JY83" s="21"/>
      <c r="JZ83" s="21"/>
      <c r="KA83" s="21"/>
      <c r="KB83" s="21"/>
      <c r="KC83" s="21"/>
      <c r="KD83" s="21"/>
      <c r="KE83" s="21"/>
      <c r="KF83" s="21"/>
      <c r="KG83" s="21"/>
      <c r="KH83" s="21"/>
      <c r="KI83" s="21"/>
      <c r="KJ83" s="21"/>
      <c r="KK83" s="21"/>
      <c r="KL83" s="21"/>
      <c r="KM83" s="21"/>
      <c r="KN83" s="21"/>
      <c r="KO83" s="21"/>
      <c r="KP83" s="21"/>
      <c r="KQ83" s="21"/>
      <c r="KR83" s="21"/>
      <c r="KS83" s="21"/>
      <c r="KT83" s="21"/>
      <c r="KU83" s="21"/>
      <c r="KV83" s="21"/>
      <c r="KW83" s="21"/>
      <c r="KX83" s="21"/>
      <c r="KY83" s="21"/>
      <c r="KZ83" s="21"/>
      <c r="LA83" s="21"/>
      <c r="LB83" s="21"/>
      <c r="LC83" s="21"/>
      <c r="LD83" s="21"/>
      <c r="LE83" s="21"/>
      <c r="LF83" s="21"/>
      <c r="LG83" s="21"/>
      <c r="LH83" s="21"/>
      <c r="LI83" s="21"/>
      <c r="LJ83" s="21"/>
      <c r="LK83" s="21"/>
      <c r="LL83" s="21"/>
      <c r="LM83" s="21"/>
      <c r="LN83" s="21"/>
      <c r="LO83" s="21"/>
      <c r="LP83" s="21"/>
      <c r="LQ83" s="21"/>
      <c r="LR83" s="21"/>
      <c r="LS83" s="21"/>
      <c r="LT83" s="21"/>
      <c r="LU83" s="21"/>
      <c r="LV83" s="21"/>
      <c r="LW83" s="21"/>
      <c r="LX83" s="21"/>
      <c r="LY83" s="21"/>
      <c r="LZ83" s="21"/>
      <c r="MA83" s="21"/>
      <c r="MB83" s="21"/>
      <c r="MC83" s="21"/>
      <c r="MD83" s="21"/>
      <c r="ME83" s="21"/>
      <c r="MF83" s="21"/>
      <c r="MG83" s="21"/>
      <c r="MH83" s="21"/>
      <c r="MI83" s="21"/>
      <c r="MJ83" s="21"/>
      <c r="MK83" s="21"/>
      <c r="ML83" s="21"/>
      <c r="MM83" s="21"/>
      <c r="MN83" s="21"/>
      <c r="MO83" s="21"/>
      <c r="MP83" s="21"/>
      <c r="MQ83" s="21"/>
      <c r="MR83" s="21"/>
      <c r="MS83" s="21"/>
      <c r="MT83" s="21"/>
      <c r="MU83" s="21"/>
      <c r="MV83" s="21"/>
      <c r="MW83" s="21"/>
      <c r="MX83" s="21"/>
      <c r="MY83" s="21"/>
      <c r="MZ83" s="21"/>
      <c r="NA83" s="21"/>
      <c r="NB83" s="21"/>
      <c r="NC83" s="21"/>
      <c r="ND83" s="21"/>
      <c r="NE83" s="21"/>
      <c r="NF83" s="21"/>
      <c r="NG83" s="21"/>
      <c r="NH83" s="21"/>
      <c r="NI83" s="21"/>
      <c r="NJ83" s="21"/>
      <c r="NK83" s="21"/>
      <c r="NL83" s="21"/>
      <c r="NM83" s="21"/>
      <c r="NN83" s="21"/>
      <c r="NO83" s="21"/>
      <c r="NP83" s="21"/>
      <c r="NQ83" s="21"/>
      <c r="NR83" s="21"/>
      <c r="NS83" s="21"/>
      <c r="NT83" s="21"/>
      <c r="NU83" s="21"/>
      <c r="NV83" s="21"/>
      <c r="NW83" s="21"/>
      <c r="NX83" s="21"/>
      <c r="NY83" s="21"/>
      <c r="NZ83" s="21"/>
      <c r="OA83" s="21"/>
      <c r="OB83" s="21"/>
      <c r="OC83" s="21"/>
      <c r="OD83" s="21"/>
      <c r="OE83" s="21"/>
      <c r="OF83" s="21"/>
      <c r="OG83" s="21"/>
      <c r="OH83" s="21"/>
      <c r="OI83" s="21"/>
      <c r="OJ83" s="21"/>
      <c r="OK83" s="21"/>
      <c r="OL83" s="21"/>
      <c r="OM83" s="21"/>
      <c r="ON83" s="21"/>
      <c r="OO83" s="21"/>
      <c r="OP83" s="21"/>
      <c r="OQ83" s="21"/>
      <c r="OR83" s="21"/>
      <c r="OS83" s="21"/>
      <c r="OT83" s="21"/>
      <c r="OU83" s="21"/>
      <c r="OV83" s="21"/>
      <c r="OW83" s="21"/>
      <c r="OX83" s="21"/>
      <c r="OY83" s="21"/>
      <c r="OZ83" s="21"/>
      <c r="PA83" s="21"/>
      <c r="PB83" s="21"/>
      <c r="PC83" s="21"/>
      <c r="PD83" s="21"/>
      <c r="PE83" s="21"/>
      <c r="PF83" s="21"/>
      <c r="PG83" s="21"/>
      <c r="PH83" s="21"/>
      <c r="PI83" s="21"/>
      <c r="PJ83" s="21"/>
      <c r="PK83" s="21"/>
      <c r="PL83" s="21"/>
      <c r="PM83" s="21"/>
      <c r="PN83" s="21"/>
      <c r="PO83" s="21"/>
      <c r="PP83" s="21"/>
      <c r="PQ83" s="21"/>
      <c r="PR83" s="21"/>
      <c r="PS83" s="21"/>
      <c r="PT83" s="21"/>
      <c r="PU83" s="21"/>
      <c r="PV83" s="21"/>
      <c r="PW83" s="21"/>
      <c r="PX83" s="21"/>
      <c r="PY83" s="21"/>
      <c r="PZ83" s="21"/>
      <c r="QA83" s="21"/>
      <c r="QB83" s="21"/>
      <c r="QC83" s="21"/>
      <c r="QD83" s="21"/>
      <c r="QE83" s="21"/>
      <c r="QF83" s="21"/>
      <c r="QG83" s="21"/>
      <c r="QH83" s="21"/>
      <c r="QI83" s="21"/>
      <c r="QJ83" s="21"/>
      <c r="QK83" s="21"/>
      <c r="QL83" s="21"/>
      <c r="QM83" s="21"/>
      <c r="QN83" s="21"/>
      <c r="QO83" s="21"/>
      <c r="QP83" s="21"/>
      <c r="QQ83" s="21"/>
      <c r="QR83" s="21"/>
      <c r="QS83" s="21"/>
      <c r="QT83" s="21"/>
      <c r="QU83" s="21"/>
      <c r="QV83" s="21"/>
      <c r="QW83" s="21"/>
      <c r="QX83" s="21"/>
      <c r="QY83" s="21"/>
      <c r="QZ83" s="21"/>
      <c r="RA83" s="21"/>
      <c r="RB83" s="21"/>
      <c r="RC83" s="21"/>
      <c r="RD83" s="21"/>
      <c r="RE83" s="21"/>
      <c r="RF83" s="21"/>
      <c r="RG83" s="21"/>
      <c r="RH83" s="21"/>
      <c r="RI83" s="21"/>
      <c r="RJ83" s="21"/>
      <c r="RK83" s="21"/>
      <c r="RL83" s="21"/>
      <c r="RM83" s="21"/>
      <c r="RN83" s="21"/>
      <c r="RO83" s="21"/>
      <c r="RP83" s="21"/>
      <c r="RQ83" s="21"/>
      <c r="RR83" s="21"/>
      <c r="RS83" s="21"/>
      <c r="RT83" s="21"/>
      <c r="RU83" s="21"/>
      <c r="RV83" s="21"/>
      <c r="RW83" s="21"/>
      <c r="RX83" s="21"/>
      <c r="RY83" s="21"/>
      <c r="RZ83" s="21"/>
      <c r="SA83" s="21"/>
      <c r="SB83" s="21"/>
      <c r="SC83" s="21"/>
      <c r="SD83" s="21"/>
      <c r="SE83" s="21"/>
      <c r="SF83" s="21"/>
      <c r="SG83" s="21"/>
      <c r="SH83" s="21"/>
      <c r="SI83" s="21"/>
      <c r="SJ83" s="21"/>
      <c r="SK83" s="21"/>
      <c r="SL83" s="21"/>
      <c r="SM83" s="21"/>
      <c r="SN83" s="21"/>
      <c r="SO83" s="21"/>
      <c r="SP83" s="21"/>
      <c r="SQ83" s="21"/>
      <c r="SR83" s="21"/>
      <c r="SS83" s="21"/>
      <c r="ST83" s="21"/>
      <c r="SU83" s="21"/>
      <c r="SV83" s="21"/>
      <c r="SW83" s="21"/>
      <c r="SX83" s="21"/>
      <c r="SY83" s="21"/>
      <c r="SZ83" s="21"/>
      <c r="TA83" s="21"/>
      <c r="TB83" s="21"/>
      <c r="TC83" s="21"/>
      <c r="TD83" s="21"/>
      <c r="TE83" s="21"/>
      <c r="TF83" s="21"/>
      <c r="TG83" s="21"/>
      <c r="TH83" s="21"/>
      <c r="TI83" s="21"/>
      <c r="TJ83" s="21"/>
      <c r="TK83" s="21"/>
      <c r="TL83" s="21"/>
      <c r="TM83" s="21"/>
      <c r="TN83" s="21"/>
      <c r="TO83" s="21"/>
      <c r="TP83" s="21"/>
      <c r="TQ83" s="21"/>
      <c r="TR83" s="21"/>
      <c r="TS83" s="21"/>
      <c r="TT83" s="21"/>
      <c r="TU83" s="21"/>
      <c r="TV83" s="21"/>
      <c r="TW83" s="21"/>
      <c r="TX83" s="21"/>
      <c r="TY83" s="21"/>
      <c r="TZ83" s="21"/>
      <c r="UA83" s="21"/>
      <c r="UB83" s="21"/>
      <c r="UC83" s="21"/>
      <c r="UD83" s="21"/>
      <c r="UE83" s="21"/>
      <c r="UF83" s="21"/>
      <c r="UG83" s="21"/>
      <c r="UH83" s="21"/>
      <c r="UI83" s="21"/>
      <c r="UJ83" s="21"/>
      <c r="UK83" s="21"/>
      <c r="UL83" s="21"/>
      <c r="UM83" s="21"/>
      <c r="UN83" s="21"/>
      <c r="UO83" s="21"/>
      <c r="UP83" s="21"/>
      <c r="UQ83" s="21"/>
      <c r="UR83" s="21"/>
      <c r="US83" s="21"/>
      <c r="UT83" s="21"/>
      <c r="UU83" s="21"/>
      <c r="UV83" s="21"/>
      <c r="UW83" s="21"/>
      <c r="UX83" s="21"/>
      <c r="UY83" s="21"/>
      <c r="UZ83" s="21"/>
      <c r="VA83" s="21"/>
      <c r="VB83" s="21"/>
      <c r="VC83" s="21"/>
      <c r="VD83" s="21"/>
      <c r="VE83" s="21"/>
      <c r="VF83" s="21"/>
      <c r="VG83" s="21"/>
      <c r="VH83" s="21"/>
      <c r="VI83" s="21"/>
      <c r="VJ83" s="21"/>
      <c r="VK83" s="21"/>
      <c r="VL83" s="21"/>
      <c r="VM83" s="21"/>
      <c r="VN83" s="21"/>
      <c r="VO83" s="21"/>
      <c r="VP83" s="21"/>
      <c r="VQ83" s="21"/>
      <c r="VR83" s="21"/>
      <c r="VS83" s="21"/>
      <c r="VT83" s="21"/>
      <c r="VU83" s="21"/>
      <c r="VV83" s="21"/>
      <c r="VW83" s="21"/>
      <c r="VX83" s="21"/>
      <c r="VY83" s="21"/>
      <c r="VZ83" s="21"/>
      <c r="WA83" s="21"/>
      <c r="WB83" s="21"/>
      <c r="WC83" s="21"/>
      <c r="WD83" s="21"/>
      <c r="WE83" s="21"/>
      <c r="WF83" s="21"/>
      <c r="WG83" s="21"/>
      <c r="WH83" s="21"/>
      <c r="WI83" s="21"/>
      <c r="WJ83" s="21"/>
      <c r="WK83" s="21"/>
      <c r="WL83" s="21"/>
      <c r="WM83" s="21"/>
      <c r="WN83" s="21"/>
      <c r="WO83" s="21"/>
      <c r="WP83" s="21"/>
      <c r="WQ83" s="21"/>
      <c r="WR83" s="21"/>
      <c r="WS83" s="21"/>
      <c r="WT83" s="21"/>
      <c r="WU83" s="21"/>
      <c r="WV83" s="21"/>
      <c r="WW83" s="21"/>
      <c r="WX83" s="21"/>
      <c r="WY83" s="21"/>
      <c r="WZ83" s="21"/>
      <c r="XA83" s="21"/>
      <c r="XB83" s="21"/>
      <c r="XC83" s="21"/>
      <c r="XD83" s="21"/>
      <c r="XE83" s="21"/>
      <c r="XF83" s="21"/>
      <c r="XG83" s="21"/>
      <c r="XH83" s="21"/>
      <c r="XI83" s="21"/>
      <c r="XJ83" s="21"/>
      <c r="XK83" s="21"/>
      <c r="XL83" s="21"/>
      <c r="XM83" s="21"/>
      <c r="XN83" s="21"/>
      <c r="XO83" s="21"/>
      <c r="XP83" s="21"/>
      <c r="XQ83" s="21"/>
      <c r="XR83" s="21"/>
      <c r="XS83" s="21"/>
      <c r="XT83" s="21"/>
      <c r="XU83" s="21"/>
      <c r="XV83" s="21"/>
      <c r="XW83" s="21"/>
      <c r="XX83" s="21"/>
      <c r="XY83" s="21"/>
      <c r="XZ83" s="21"/>
      <c r="YA83" s="21"/>
      <c r="YB83" s="21"/>
      <c r="YC83" s="21"/>
      <c r="YD83" s="21"/>
      <c r="YE83" s="21"/>
      <c r="YF83" s="21"/>
      <c r="YG83" s="21"/>
      <c r="YH83" s="21"/>
      <c r="YI83" s="21"/>
      <c r="YJ83" s="21"/>
      <c r="YK83" s="21"/>
      <c r="YL83" s="21"/>
      <c r="YM83" s="21"/>
      <c r="YN83" s="21"/>
      <c r="YO83" s="21"/>
      <c r="YP83" s="21"/>
      <c r="YQ83" s="21"/>
      <c r="YR83" s="21"/>
      <c r="YS83" s="21"/>
      <c r="YT83" s="21"/>
      <c r="YU83" s="21"/>
      <c r="YV83" s="21"/>
      <c r="YW83" s="21"/>
      <c r="YX83" s="21"/>
      <c r="YY83" s="21"/>
      <c r="YZ83" s="21"/>
      <c r="ZA83" s="21"/>
      <c r="ZB83" s="21"/>
      <c r="ZC83" s="21"/>
      <c r="ZD83" s="21"/>
      <c r="ZE83" s="21"/>
      <c r="ZF83" s="21"/>
      <c r="ZG83" s="21"/>
      <c r="ZH83" s="21"/>
      <c r="ZI83" s="21"/>
      <c r="ZJ83" s="21"/>
      <c r="ZK83" s="21"/>
      <c r="ZL83" s="21"/>
      <c r="ZM83" s="21"/>
      <c r="ZN83" s="21"/>
      <c r="ZO83" s="21"/>
      <c r="ZP83" s="21"/>
      <c r="ZQ83" s="21"/>
      <c r="ZR83" s="21"/>
      <c r="ZS83" s="21"/>
      <c r="ZT83" s="21"/>
      <c r="ZU83" s="21"/>
      <c r="ZV83" s="21"/>
      <c r="ZW83" s="21"/>
      <c r="ZX83" s="21"/>
      <c r="ZY83" s="21"/>
      <c r="ZZ83" s="21"/>
      <c r="AAA83" s="21"/>
      <c r="AAB83" s="21"/>
      <c r="AAC83" s="21"/>
      <c r="AAD83" s="21"/>
      <c r="AAE83" s="21"/>
      <c r="AAF83" s="21"/>
      <c r="AAG83" s="21"/>
      <c r="AAH83" s="21"/>
      <c r="AAI83" s="21"/>
      <c r="AAJ83" s="21"/>
      <c r="AAK83" s="21"/>
      <c r="AAL83" s="21"/>
      <c r="AAM83" s="21"/>
      <c r="AAN83" s="21"/>
      <c r="AAO83" s="21"/>
      <c r="AAP83" s="21"/>
      <c r="AAQ83" s="21"/>
      <c r="AAR83" s="21"/>
      <c r="AAS83" s="21"/>
      <c r="AAT83" s="21"/>
      <c r="AAU83" s="21"/>
      <c r="AAV83" s="21"/>
      <c r="AAW83" s="21"/>
      <c r="AAX83" s="21"/>
      <c r="AAY83" s="21"/>
      <c r="AAZ83" s="21"/>
      <c r="ABA83" s="21"/>
      <c r="ABB83" s="21"/>
      <c r="ABC83" s="21"/>
      <c r="ABD83" s="21"/>
      <c r="ABE83" s="21"/>
      <c r="ABF83" s="21"/>
      <c r="ABG83" s="21"/>
      <c r="ABH83" s="21"/>
      <c r="ABI83" s="21"/>
      <c r="ABJ83" s="21"/>
      <c r="ABK83" s="21"/>
      <c r="ABL83" s="21"/>
      <c r="ABM83" s="21"/>
      <c r="ABN83" s="21"/>
      <c r="ABO83" s="21"/>
      <c r="ABP83" s="21"/>
      <c r="ABQ83" s="21"/>
      <c r="ABR83" s="21"/>
      <c r="ABS83" s="21"/>
      <c r="ABT83" s="21"/>
      <c r="ABU83" s="21"/>
      <c r="ABV83" s="21"/>
      <c r="ABW83" s="21"/>
      <c r="ABX83" s="21"/>
      <c r="ABY83" s="21"/>
      <c r="ABZ83" s="21"/>
      <c r="ACA83" s="21"/>
      <c r="ACB83" s="21"/>
      <c r="ACC83" s="21"/>
      <c r="ACD83" s="21"/>
      <c r="ACE83" s="21"/>
      <c r="ACF83" s="21"/>
      <c r="ACG83" s="21"/>
      <c r="ACH83" s="21"/>
      <c r="ACI83" s="21"/>
      <c r="ACJ83" s="21"/>
      <c r="ACK83" s="21"/>
      <c r="ACL83" s="21"/>
      <c r="ACM83" s="21"/>
      <c r="ACN83" s="21"/>
      <c r="ACO83" s="21"/>
      <c r="ACP83" s="21"/>
      <c r="ACQ83" s="21"/>
      <c r="ACR83" s="21"/>
      <c r="ACS83" s="21"/>
      <c r="ACT83" s="21"/>
      <c r="ACU83" s="21"/>
      <c r="ACV83" s="21"/>
      <c r="ACW83" s="21"/>
      <c r="ACX83" s="21"/>
      <c r="ACY83" s="21"/>
      <c r="ACZ83" s="21"/>
      <c r="ADA83" s="21"/>
      <c r="ADB83" s="21"/>
      <c r="ADC83" s="21"/>
      <c r="ADD83" s="21"/>
      <c r="ADE83" s="21"/>
      <c r="ADF83" s="21"/>
      <c r="ADG83" s="21"/>
      <c r="ADH83" s="21"/>
      <c r="ADI83" s="21"/>
      <c r="ADJ83" s="21"/>
      <c r="ADK83" s="21"/>
      <c r="ADL83" s="21"/>
      <c r="ADM83" s="21"/>
      <c r="ADN83" s="21"/>
      <c r="ADO83" s="21"/>
      <c r="ADP83" s="21"/>
      <c r="ADQ83" s="21"/>
      <c r="ADR83" s="21"/>
      <c r="ADS83" s="21"/>
      <c r="ADT83" s="21"/>
      <c r="ADU83" s="21"/>
      <c r="ADV83" s="21"/>
      <c r="ADW83" s="21"/>
      <c r="ADX83" s="21"/>
      <c r="ADY83" s="21"/>
      <c r="ADZ83" s="21"/>
      <c r="AEA83" s="21"/>
      <c r="AEB83" s="21"/>
      <c r="AEC83" s="21"/>
      <c r="AED83" s="21"/>
      <c r="AEE83" s="21"/>
      <c r="AEF83" s="21"/>
      <c r="AEG83" s="21"/>
    </row>
    <row r="84" spans="1:813" s="93" customFormat="1" ht="75" x14ac:dyDescent="0.25">
      <c r="A84" s="181"/>
      <c r="B84" s="81" t="s">
        <v>324</v>
      </c>
      <c r="C84" s="80" t="s">
        <v>327</v>
      </c>
      <c r="D84" s="74" t="s">
        <v>326</v>
      </c>
      <c r="E84" s="118" t="s">
        <v>325</v>
      </c>
      <c r="F84" s="117"/>
      <c r="G84" s="32"/>
      <c r="H84" s="32"/>
      <c r="I84" s="32"/>
      <c r="J84" s="32">
        <v>110</v>
      </c>
      <c r="K84" s="32"/>
      <c r="L84" s="32">
        <v>150</v>
      </c>
      <c r="M84" s="32"/>
      <c r="N84" s="32">
        <v>200</v>
      </c>
      <c r="O84" s="32"/>
      <c r="P84" s="32">
        <v>20</v>
      </c>
      <c r="Q84" s="32"/>
      <c r="R84" s="32">
        <v>110</v>
      </c>
      <c r="S84" s="32"/>
      <c r="T84" s="32">
        <v>275</v>
      </c>
      <c r="U84" s="32"/>
      <c r="V84" s="32">
        <v>75</v>
      </c>
      <c r="W84" s="32"/>
      <c r="X84" s="32"/>
      <c r="Y84" s="32"/>
      <c r="Z84" s="32"/>
      <c r="AA84" s="32"/>
      <c r="AB84" s="32"/>
      <c r="AC84" s="32"/>
      <c r="AD84" s="32"/>
      <c r="AE84" s="32"/>
      <c r="AF84" s="32">
        <f t="shared" si="21"/>
        <v>940</v>
      </c>
      <c r="AG84" s="32"/>
      <c r="AH84" s="32"/>
      <c r="AI84" s="32">
        <v>1230</v>
      </c>
      <c r="AJ84" s="31">
        <v>157526.67715370571</v>
      </c>
      <c r="AK84" s="31">
        <v>12831.613519672141</v>
      </c>
      <c r="AL84" s="31">
        <v>170358.29067337784</v>
      </c>
      <c r="AM84" s="30" t="s">
        <v>18</v>
      </c>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c r="HO84" s="21"/>
      <c r="HP84" s="21"/>
      <c r="HQ84" s="21"/>
      <c r="HR84" s="21"/>
      <c r="HS84" s="21"/>
      <c r="HT84" s="21"/>
      <c r="HU84" s="21"/>
      <c r="HV84" s="21"/>
      <c r="HW84" s="21"/>
      <c r="HX84" s="21"/>
      <c r="HY84" s="21"/>
      <c r="HZ84" s="21"/>
      <c r="IA84" s="21"/>
      <c r="IB84" s="21"/>
      <c r="IC84" s="21"/>
      <c r="ID84" s="21"/>
      <c r="IE84" s="21"/>
      <c r="IF84" s="21"/>
      <c r="IG84" s="21"/>
      <c r="IH84" s="21"/>
      <c r="II84" s="21"/>
      <c r="IJ84" s="21"/>
      <c r="IK84" s="21"/>
      <c r="IL84" s="21"/>
      <c r="IM84" s="21"/>
      <c r="IN84" s="21"/>
      <c r="IO84" s="21"/>
      <c r="IP84" s="21"/>
      <c r="IQ84" s="21"/>
      <c r="IR84" s="21"/>
      <c r="IS84" s="21"/>
      <c r="IT84" s="21"/>
      <c r="IU84" s="21"/>
      <c r="IV84" s="21"/>
      <c r="IW84" s="21"/>
      <c r="IX84" s="21"/>
      <c r="IY84" s="21"/>
      <c r="IZ84" s="21"/>
      <c r="JA84" s="21"/>
      <c r="JB84" s="21"/>
      <c r="JC84" s="21"/>
      <c r="JD84" s="21"/>
      <c r="JE84" s="21"/>
      <c r="JF84" s="21"/>
      <c r="JG84" s="21"/>
      <c r="JH84" s="21"/>
      <c r="JI84" s="21"/>
      <c r="JJ84" s="21"/>
      <c r="JK84" s="21"/>
      <c r="JL84" s="21"/>
      <c r="JM84" s="21"/>
      <c r="JN84" s="21"/>
      <c r="JO84" s="21"/>
      <c r="JP84" s="21"/>
      <c r="JQ84" s="21"/>
      <c r="JR84" s="21"/>
      <c r="JS84" s="21"/>
      <c r="JT84" s="21"/>
      <c r="JU84" s="21"/>
      <c r="JV84" s="21"/>
      <c r="JW84" s="21"/>
      <c r="JX84" s="21"/>
      <c r="JY84" s="21"/>
      <c r="JZ84" s="21"/>
      <c r="KA84" s="21"/>
      <c r="KB84" s="21"/>
      <c r="KC84" s="21"/>
      <c r="KD84" s="21"/>
      <c r="KE84" s="21"/>
      <c r="KF84" s="21"/>
      <c r="KG84" s="21"/>
      <c r="KH84" s="21"/>
      <c r="KI84" s="21"/>
      <c r="KJ84" s="21"/>
      <c r="KK84" s="21"/>
      <c r="KL84" s="21"/>
      <c r="KM84" s="21"/>
      <c r="KN84" s="21"/>
      <c r="KO84" s="21"/>
      <c r="KP84" s="21"/>
      <c r="KQ84" s="21"/>
      <c r="KR84" s="21"/>
      <c r="KS84" s="21"/>
      <c r="KT84" s="21"/>
      <c r="KU84" s="21"/>
      <c r="KV84" s="21"/>
      <c r="KW84" s="21"/>
      <c r="KX84" s="21"/>
      <c r="KY84" s="21"/>
      <c r="KZ84" s="21"/>
      <c r="LA84" s="21"/>
      <c r="LB84" s="21"/>
      <c r="LC84" s="21"/>
      <c r="LD84" s="21"/>
      <c r="LE84" s="21"/>
      <c r="LF84" s="21"/>
      <c r="LG84" s="21"/>
      <c r="LH84" s="21"/>
      <c r="LI84" s="21"/>
      <c r="LJ84" s="21"/>
      <c r="LK84" s="21"/>
      <c r="LL84" s="21"/>
      <c r="LM84" s="21"/>
      <c r="LN84" s="21"/>
      <c r="LO84" s="21"/>
      <c r="LP84" s="21"/>
      <c r="LQ84" s="21"/>
      <c r="LR84" s="21"/>
      <c r="LS84" s="21"/>
      <c r="LT84" s="21"/>
      <c r="LU84" s="21"/>
      <c r="LV84" s="21"/>
      <c r="LW84" s="21"/>
      <c r="LX84" s="21"/>
      <c r="LY84" s="21"/>
      <c r="LZ84" s="21"/>
      <c r="MA84" s="21"/>
      <c r="MB84" s="21"/>
      <c r="MC84" s="21"/>
      <c r="MD84" s="21"/>
      <c r="ME84" s="21"/>
      <c r="MF84" s="21"/>
      <c r="MG84" s="21"/>
      <c r="MH84" s="21"/>
      <c r="MI84" s="21"/>
      <c r="MJ84" s="21"/>
      <c r="MK84" s="21"/>
      <c r="ML84" s="21"/>
      <c r="MM84" s="21"/>
      <c r="MN84" s="21"/>
      <c r="MO84" s="21"/>
      <c r="MP84" s="21"/>
      <c r="MQ84" s="21"/>
      <c r="MR84" s="21"/>
      <c r="MS84" s="21"/>
      <c r="MT84" s="21"/>
      <c r="MU84" s="21"/>
      <c r="MV84" s="21"/>
      <c r="MW84" s="21"/>
      <c r="MX84" s="21"/>
      <c r="MY84" s="21"/>
      <c r="MZ84" s="21"/>
      <c r="NA84" s="21"/>
      <c r="NB84" s="21"/>
      <c r="NC84" s="21"/>
      <c r="ND84" s="21"/>
      <c r="NE84" s="21"/>
      <c r="NF84" s="21"/>
      <c r="NG84" s="21"/>
      <c r="NH84" s="21"/>
      <c r="NI84" s="21"/>
      <c r="NJ84" s="21"/>
      <c r="NK84" s="21"/>
      <c r="NL84" s="21"/>
      <c r="NM84" s="21"/>
      <c r="NN84" s="21"/>
      <c r="NO84" s="21"/>
      <c r="NP84" s="21"/>
      <c r="NQ84" s="21"/>
      <c r="NR84" s="21"/>
      <c r="NS84" s="21"/>
      <c r="NT84" s="21"/>
      <c r="NU84" s="21"/>
      <c r="NV84" s="21"/>
      <c r="NW84" s="21"/>
      <c r="NX84" s="21"/>
      <c r="NY84" s="21"/>
      <c r="NZ84" s="21"/>
      <c r="OA84" s="21"/>
      <c r="OB84" s="21"/>
      <c r="OC84" s="21"/>
      <c r="OD84" s="21"/>
      <c r="OE84" s="21"/>
      <c r="OF84" s="21"/>
      <c r="OG84" s="21"/>
      <c r="OH84" s="21"/>
      <c r="OI84" s="21"/>
      <c r="OJ84" s="21"/>
      <c r="OK84" s="21"/>
      <c r="OL84" s="21"/>
      <c r="OM84" s="21"/>
      <c r="ON84" s="21"/>
      <c r="OO84" s="21"/>
      <c r="OP84" s="21"/>
      <c r="OQ84" s="21"/>
      <c r="OR84" s="21"/>
      <c r="OS84" s="21"/>
      <c r="OT84" s="21"/>
      <c r="OU84" s="21"/>
      <c r="OV84" s="21"/>
      <c r="OW84" s="21"/>
      <c r="OX84" s="21"/>
      <c r="OY84" s="21"/>
      <c r="OZ84" s="21"/>
      <c r="PA84" s="21"/>
      <c r="PB84" s="21"/>
      <c r="PC84" s="21"/>
      <c r="PD84" s="21"/>
      <c r="PE84" s="21"/>
      <c r="PF84" s="21"/>
      <c r="PG84" s="21"/>
      <c r="PH84" s="21"/>
      <c r="PI84" s="21"/>
      <c r="PJ84" s="21"/>
      <c r="PK84" s="21"/>
      <c r="PL84" s="21"/>
      <c r="PM84" s="21"/>
      <c r="PN84" s="21"/>
      <c r="PO84" s="21"/>
      <c r="PP84" s="21"/>
      <c r="PQ84" s="21"/>
      <c r="PR84" s="21"/>
      <c r="PS84" s="21"/>
      <c r="PT84" s="21"/>
      <c r="PU84" s="21"/>
      <c r="PV84" s="21"/>
      <c r="PW84" s="21"/>
      <c r="PX84" s="21"/>
      <c r="PY84" s="21"/>
      <c r="PZ84" s="21"/>
      <c r="QA84" s="21"/>
      <c r="QB84" s="21"/>
      <c r="QC84" s="21"/>
      <c r="QD84" s="21"/>
      <c r="QE84" s="21"/>
      <c r="QF84" s="21"/>
      <c r="QG84" s="21"/>
      <c r="QH84" s="21"/>
      <c r="QI84" s="21"/>
      <c r="QJ84" s="21"/>
      <c r="QK84" s="21"/>
      <c r="QL84" s="21"/>
      <c r="QM84" s="21"/>
      <c r="QN84" s="21"/>
      <c r="QO84" s="21"/>
      <c r="QP84" s="21"/>
      <c r="QQ84" s="21"/>
      <c r="QR84" s="21"/>
      <c r="QS84" s="21"/>
      <c r="QT84" s="21"/>
      <c r="QU84" s="21"/>
      <c r="QV84" s="21"/>
      <c r="QW84" s="21"/>
      <c r="QX84" s="21"/>
      <c r="QY84" s="21"/>
      <c r="QZ84" s="21"/>
      <c r="RA84" s="21"/>
      <c r="RB84" s="21"/>
      <c r="RC84" s="21"/>
      <c r="RD84" s="21"/>
      <c r="RE84" s="21"/>
      <c r="RF84" s="21"/>
      <c r="RG84" s="21"/>
      <c r="RH84" s="21"/>
      <c r="RI84" s="21"/>
      <c r="RJ84" s="21"/>
      <c r="RK84" s="21"/>
      <c r="RL84" s="21"/>
      <c r="RM84" s="21"/>
      <c r="RN84" s="21"/>
      <c r="RO84" s="21"/>
      <c r="RP84" s="21"/>
      <c r="RQ84" s="21"/>
      <c r="RR84" s="21"/>
      <c r="RS84" s="21"/>
      <c r="RT84" s="21"/>
      <c r="RU84" s="21"/>
      <c r="RV84" s="21"/>
      <c r="RW84" s="21"/>
      <c r="RX84" s="21"/>
      <c r="RY84" s="21"/>
      <c r="RZ84" s="21"/>
      <c r="SA84" s="21"/>
      <c r="SB84" s="21"/>
      <c r="SC84" s="21"/>
      <c r="SD84" s="21"/>
      <c r="SE84" s="21"/>
      <c r="SF84" s="21"/>
      <c r="SG84" s="21"/>
      <c r="SH84" s="21"/>
      <c r="SI84" s="21"/>
      <c r="SJ84" s="21"/>
      <c r="SK84" s="21"/>
      <c r="SL84" s="21"/>
      <c r="SM84" s="21"/>
      <c r="SN84" s="21"/>
      <c r="SO84" s="21"/>
      <c r="SP84" s="21"/>
      <c r="SQ84" s="21"/>
      <c r="SR84" s="21"/>
      <c r="SS84" s="21"/>
      <c r="ST84" s="21"/>
      <c r="SU84" s="21"/>
      <c r="SV84" s="21"/>
      <c r="SW84" s="21"/>
      <c r="SX84" s="21"/>
      <c r="SY84" s="21"/>
      <c r="SZ84" s="21"/>
      <c r="TA84" s="21"/>
      <c r="TB84" s="21"/>
      <c r="TC84" s="21"/>
      <c r="TD84" s="21"/>
      <c r="TE84" s="21"/>
      <c r="TF84" s="21"/>
      <c r="TG84" s="21"/>
      <c r="TH84" s="21"/>
      <c r="TI84" s="21"/>
      <c r="TJ84" s="21"/>
      <c r="TK84" s="21"/>
      <c r="TL84" s="21"/>
      <c r="TM84" s="21"/>
      <c r="TN84" s="21"/>
      <c r="TO84" s="21"/>
      <c r="TP84" s="21"/>
      <c r="TQ84" s="21"/>
      <c r="TR84" s="21"/>
      <c r="TS84" s="21"/>
      <c r="TT84" s="21"/>
      <c r="TU84" s="21"/>
      <c r="TV84" s="21"/>
      <c r="TW84" s="21"/>
      <c r="TX84" s="21"/>
      <c r="TY84" s="21"/>
      <c r="TZ84" s="21"/>
      <c r="UA84" s="21"/>
      <c r="UB84" s="21"/>
      <c r="UC84" s="21"/>
      <c r="UD84" s="21"/>
      <c r="UE84" s="21"/>
      <c r="UF84" s="21"/>
      <c r="UG84" s="21"/>
      <c r="UH84" s="21"/>
      <c r="UI84" s="21"/>
      <c r="UJ84" s="21"/>
      <c r="UK84" s="21"/>
      <c r="UL84" s="21"/>
      <c r="UM84" s="21"/>
      <c r="UN84" s="21"/>
      <c r="UO84" s="21"/>
      <c r="UP84" s="21"/>
      <c r="UQ84" s="21"/>
      <c r="UR84" s="21"/>
      <c r="US84" s="21"/>
      <c r="UT84" s="21"/>
      <c r="UU84" s="21"/>
      <c r="UV84" s="21"/>
      <c r="UW84" s="21"/>
      <c r="UX84" s="21"/>
      <c r="UY84" s="21"/>
      <c r="UZ84" s="21"/>
      <c r="VA84" s="21"/>
      <c r="VB84" s="21"/>
      <c r="VC84" s="21"/>
      <c r="VD84" s="21"/>
      <c r="VE84" s="21"/>
      <c r="VF84" s="21"/>
      <c r="VG84" s="21"/>
      <c r="VH84" s="21"/>
      <c r="VI84" s="21"/>
      <c r="VJ84" s="21"/>
      <c r="VK84" s="21"/>
      <c r="VL84" s="21"/>
      <c r="VM84" s="21"/>
      <c r="VN84" s="21"/>
      <c r="VO84" s="21"/>
      <c r="VP84" s="21"/>
      <c r="VQ84" s="21"/>
      <c r="VR84" s="21"/>
      <c r="VS84" s="21"/>
      <c r="VT84" s="21"/>
      <c r="VU84" s="21"/>
      <c r="VV84" s="21"/>
      <c r="VW84" s="21"/>
      <c r="VX84" s="21"/>
      <c r="VY84" s="21"/>
      <c r="VZ84" s="21"/>
      <c r="WA84" s="21"/>
      <c r="WB84" s="21"/>
      <c r="WC84" s="21"/>
      <c r="WD84" s="21"/>
      <c r="WE84" s="21"/>
      <c r="WF84" s="21"/>
      <c r="WG84" s="21"/>
      <c r="WH84" s="21"/>
      <c r="WI84" s="21"/>
      <c r="WJ84" s="21"/>
      <c r="WK84" s="21"/>
      <c r="WL84" s="21"/>
      <c r="WM84" s="21"/>
      <c r="WN84" s="21"/>
      <c r="WO84" s="21"/>
      <c r="WP84" s="21"/>
      <c r="WQ84" s="21"/>
      <c r="WR84" s="21"/>
      <c r="WS84" s="21"/>
      <c r="WT84" s="21"/>
      <c r="WU84" s="21"/>
      <c r="WV84" s="21"/>
      <c r="WW84" s="21"/>
      <c r="WX84" s="21"/>
      <c r="WY84" s="21"/>
      <c r="WZ84" s="21"/>
      <c r="XA84" s="21"/>
      <c r="XB84" s="21"/>
      <c r="XC84" s="21"/>
      <c r="XD84" s="21"/>
      <c r="XE84" s="21"/>
      <c r="XF84" s="21"/>
      <c r="XG84" s="21"/>
      <c r="XH84" s="21"/>
      <c r="XI84" s="21"/>
      <c r="XJ84" s="21"/>
      <c r="XK84" s="21"/>
      <c r="XL84" s="21"/>
      <c r="XM84" s="21"/>
      <c r="XN84" s="21"/>
      <c r="XO84" s="21"/>
      <c r="XP84" s="21"/>
      <c r="XQ84" s="21"/>
      <c r="XR84" s="21"/>
      <c r="XS84" s="21"/>
      <c r="XT84" s="21"/>
      <c r="XU84" s="21"/>
      <c r="XV84" s="21"/>
      <c r="XW84" s="21"/>
      <c r="XX84" s="21"/>
      <c r="XY84" s="21"/>
      <c r="XZ84" s="21"/>
      <c r="YA84" s="21"/>
      <c r="YB84" s="21"/>
      <c r="YC84" s="21"/>
      <c r="YD84" s="21"/>
      <c r="YE84" s="21"/>
      <c r="YF84" s="21"/>
      <c r="YG84" s="21"/>
      <c r="YH84" s="21"/>
      <c r="YI84" s="21"/>
      <c r="YJ84" s="21"/>
      <c r="YK84" s="21"/>
      <c r="YL84" s="21"/>
      <c r="YM84" s="21"/>
      <c r="YN84" s="21"/>
      <c r="YO84" s="21"/>
      <c r="YP84" s="21"/>
      <c r="YQ84" s="21"/>
      <c r="YR84" s="21"/>
      <c r="YS84" s="21"/>
      <c r="YT84" s="21"/>
      <c r="YU84" s="21"/>
      <c r="YV84" s="21"/>
      <c r="YW84" s="21"/>
      <c r="YX84" s="21"/>
      <c r="YY84" s="21"/>
      <c r="YZ84" s="21"/>
      <c r="ZA84" s="21"/>
      <c r="ZB84" s="21"/>
      <c r="ZC84" s="21"/>
      <c r="ZD84" s="21"/>
      <c r="ZE84" s="21"/>
      <c r="ZF84" s="21"/>
      <c r="ZG84" s="21"/>
      <c r="ZH84" s="21"/>
      <c r="ZI84" s="21"/>
      <c r="ZJ84" s="21"/>
      <c r="ZK84" s="21"/>
      <c r="ZL84" s="21"/>
      <c r="ZM84" s="21"/>
      <c r="ZN84" s="21"/>
      <c r="ZO84" s="21"/>
      <c r="ZP84" s="21"/>
      <c r="ZQ84" s="21"/>
      <c r="ZR84" s="21"/>
      <c r="ZS84" s="21"/>
      <c r="ZT84" s="21"/>
      <c r="ZU84" s="21"/>
      <c r="ZV84" s="21"/>
      <c r="ZW84" s="21"/>
      <c r="ZX84" s="21"/>
      <c r="ZY84" s="21"/>
      <c r="ZZ84" s="21"/>
      <c r="AAA84" s="21"/>
      <c r="AAB84" s="21"/>
      <c r="AAC84" s="21"/>
      <c r="AAD84" s="21"/>
      <c r="AAE84" s="21"/>
      <c r="AAF84" s="21"/>
      <c r="AAG84" s="21"/>
      <c r="AAH84" s="21"/>
      <c r="AAI84" s="21"/>
      <c r="AAJ84" s="21"/>
      <c r="AAK84" s="21"/>
      <c r="AAL84" s="21"/>
      <c r="AAM84" s="21"/>
      <c r="AAN84" s="21"/>
      <c r="AAO84" s="21"/>
      <c r="AAP84" s="21"/>
      <c r="AAQ84" s="21"/>
      <c r="AAR84" s="21"/>
      <c r="AAS84" s="21"/>
      <c r="AAT84" s="21"/>
      <c r="AAU84" s="21"/>
      <c r="AAV84" s="21"/>
      <c r="AAW84" s="21"/>
      <c r="AAX84" s="21"/>
      <c r="AAY84" s="21"/>
      <c r="AAZ84" s="21"/>
      <c r="ABA84" s="21"/>
      <c r="ABB84" s="21"/>
      <c r="ABC84" s="21"/>
      <c r="ABD84" s="21"/>
      <c r="ABE84" s="21"/>
      <c r="ABF84" s="21"/>
      <c r="ABG84" s="21"/>
      <c r="ABH84" s="21"/>
      <c r="ABI84" s="21"/>
      <c r="ABJ84" s="21"/>
      <c r="ABK84" s="21"/>
      <c r="ABL84" s="21"/>
      <c r="ABM84" s="21"/>
      <c r="ABN84" s="21"/>
      <c r="ABO84" s="21"/>
      <c r="ABP84" s="21"/>
      <c r="ABQ84" s="21"/>
      <c r="ABR84" s="21"/>
      <c r="ABS84" s="21"/>
      <c r="ABT84" s="21"/>
      <c r="ABU84" s="21"/>
      <c r="ABV84" s="21"/>
      <c r="ABW84" s="21"/>
      <c r="ABX84" s="21"/>
      <c r="ABY84" s="21"/>
      <c r="ABZ84" s="21"/>
      <c r="ACA84" s="21"/>
      <c r="ACB84" s="21"/>
      <c r="ACC84" s="21"/>
      <c r="ACD84" s="21"/>
      <c r="ACE84" s="21"/>
      <c r="ACF84" s="21"/>
      <c r="ACG84" s="21"/>
      <c r="ACH84" s="21"/>
      <c r="ACI84" s="21"/>
      <c r="ACJ84" s="21"/>
      <c r="ACK84" s="21"/>
      <c r="ACL84" s="21"/>
      <c r="ACM84" s="21"/>
      <c r="ACN84" s="21"/>
      <c r="ACO84" s="21"/>
      <c r="ACP84" s="21"/>
      <c r="ACQ84" s="21"/>
      <c r="ACR84" s="21"/>
      <c r="ACS84" s="21"/>
      <c r="ACT84" s="21"/>
      <c r="ACU84" s="21"/>
      <c r="ACV84" s="21"/>
      <c r="ACW84" s="21"/>
      <c r="ACX84" s="21"/>
      <c r="ACY84" s="21"/>
      <c r="ACZ84" s="21"/>
      <c r="ADA84" s="21"/>
      <c r="ADB84" s="21"/>
      <c r="ADC84" s="21"/>
      <c r="ADD84" s="21"/>
      <c r="ADE84" s="21"/>
      <c r="ADF84" s="21"/>
      <c r="ADG84" s="21"/>
      <c r="ADH84" s="21"/>
      <c r="ADI84" s="21"/>
      <c r="ADJ84" s="21"/>
      <c r="ADK84" s="21"/>
      <c r="ADL84" s="21"/>
      <c r="ADM84" s="21"/>
      <c r="ADN84" s="21"/>
      <c r="ADO84" s="21"/>
      <c r="ADP84" s="21"/>
      <c r="ADQ84" s="21"/>
      <c r="ADR84" s="21"/>
      <c r="ADS84" s="21"/>
      <c r="ADT84" s="21"/>
      <c r="ADU84" s="21"/>
      <c r="ADV84" s="21"/>
      <c r="ADW84" s="21"/>
      <c r="ADX84" s="21"/>
      <c r="ADY84" s="21"/>
      <c r="ADZ84" s="21"/>
      <c r="AEA84" s="21"/>
      <c r="AEB84" s="21"/>
      <c r="AEC84" s="21"/>
      <c r="AED84" s="21"/>
      <c r="AEE84" s="21"/>
      <c r="AEF84" s="21"/>
      <c r="AEG84" s="21"/>
    </row>
    <row r="85" spans="1:813" s="93" customFormat="1" ht="75" x14ac:dyDescent="0.25">
      <c r="A85" s="181"/>
      <c r="B85" s="81" t="s">
        <v>324</v>
      </c>
      <c r="C85" s="80" t="s">
        <v>323</v>
      </c>
      <c r="D85" s="74" t="s">
        <v>322</v>
      </c>
      <c r="E85" s="36" t="s">
        <v>321</v>
      </c>
      <c r="F85" s="63"/>
      <c r="G85" s="32"/>
      <c r="H85" s="32">
        <v>10</v>
      </c>
      <c r="I85" s="32"/>
      <c r="J85" s="32">
        <v>90</v>
      </c>
      <c r="K85" s="32"/>
      <c r="L85" s="32">
        <v>200</v>
      </c>
      <c r="M85" s="32"/>
      <c r="N85" s="32"/>
      <c r="O85" s="32"/>
      <c r="P85" s="32"/>
      <c r="Q85" s="32"/>
      <c r="R85" s="32">
        <v>300</v>
      </c>
      <c r="S85" s="32"/>
      <c r="T85" s="32">
        <v>270</v>
      </c>
      <c r="U85" s="32"/>
      <c r="V85" s="32"/>
      <c r="W85" s="32"/>
      <c r="X85" s="32">
        <v>75</v>
      </c>
      <c r="Y85" s="32"/>
      <c r="Z85" s="32"/>
      <c r="AA85" s="32"/>
      <c r="AB85" s="32"/>
      <c r="AC85" s="32"/>
      <c r="AD85" s="32">
        <v>75</v>
      </c>
      <c r="AE85" s="32"/>
      <c r="AF85" s="32">
        <f t="shared" si="21"/>
        <v>1020</v>
      </c>
      <c r="AG85" s="32"/>
      <c r="AH85" s="32"/>
      <c r="AI85" s="32">
        <v>310</v>
      </c>
      <c r="AJ85" s="31">
        <v>94000.543389848768</v>
      </c>
      <c r="AK85" s="31">
        <v>7656.9801713064089</v>
      </c>
      <c r="AL85" s="31">
        <v>101657.52356115518</v>
      </c>
      <c r="AM85" s="30" t="s">
        <v>18</v>
      </c>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c r="GJ85" s="21"/>
      <c r="GK85" s="21"/>
      <c r="GL85" s="21"/>
      <c r="GM85" s="21"/>
      <c r="GN85" s="21"/>
      <c r="GO85" s="21"/>
      <c r="GP85" s="21"/>
      <c r="GQ85" s="21"/>
      <c r="GR85" s="21"/>
      <c r="GS85" s="21"/>
      <c r="GT85" s="21"/>
      <c r="GU85" s="21"/>
      <c r="GV85" s="21"/>
      <c r="GW85" s="21"/>
      <c r="GX85" s="21"/>
      <c r="GY85" s="21"/>
      <c r="GZ85" s="21"/>
      <c r="HA85" s="21"/>
      <c r="HB85" s="21"/>
      <c r="HC85" s="21"/>
      <c r="HD85" s="21"/>
      <c r="HE85" s="21"/>
      <c r="HF85" s="21"/>
      <c r="HG85" s="21"/>
      <c r="HH85" s="21"/>
      <c r="HI85" s="21"/>
      <c r="HJ85" s="21"/>
      <c r="HK85" s="21"/>
      <c r="HL85" s="21"/>
      <c r="HM85" s="21"/>
      <c r="HN85" s="21"/>
      <c r="HO85" s="21"/>
      <c r="HP85" s="21"/>
      <c r="HQ85" s="21"/>
      <c r="HR85" s="21"/>
      <c r="HS85" s="21"/>
      <c r="HT85" s="21"/>
      <c r="HU85" s="21"/>
      <c r="HV85" s="21"/>
      <c r="HW85" s="21"/>
      <c r="HX85" s="21"/>
      <c r="HY85" s="21"/>
      <c r="HZ85" s="21"/>
      <c r="IA85" s="21"/>
      <c r="IB85" s="21"/>
      <c r="IC85" s="21"/>
      <c r="ID85" s="21"/>
      <c r="IE85" s="21"/>
      <c r="IF85" s="21"/>
      <c r="IG85" s="21"/>
      <c r="IH85" s="21"/>
      <c r="II85" s="21"/>
      <c r="IJ85" s="21"/>
      <c r="IK85" s="21"/>
      <c r="IL85" s="21"/>
      <c r="IM85" s="21"/>
      <c r="IN85" s="21"/>
      <c r="IO85" s="21"/>
      <c r="IP85" s="21"/>
      <c r="IQ85" s="21"/>
      <c r="IR85" s="21"/>
      <c r="IS85" s="21"/>
      <c r="IT85" s="21"/>
      <c r="IU85" s="21"/>
      <c r="IV85" s="21"/>
      <c r="IW85" s="21"/>
      <c r="IX85" s="21"/>
      <c r="IY85" s="21"/>
      <c r="IZ85" s="21"/>
      <c r="JA85" s="21"/>
      <c r="JB85" s="21"/>
      <c r="JC85" s="21"/>
      <c r="JD85" s="21"/>
      <c r="JE85" s="21"/>
      <c r="JF85" s="21"/>
      <c r="JG85" s="21"/>
      <c r="JH85" s="21"/>
      <c r="JI85" s="21"/>
      <c r="JJ85" s="21"/>
      <c r="JK85" s="21"/>
      <c r="JL85" s="21"/>
      <c r="JM85" s="21"/>
      <c r="JN85" s="21"/>
      <c r="JO85" s="21"/>
      <c r="JP85" s="21"/>
      <c r="JQ85" s="21"/>
      <c r="JR85" s="21"/>
      <c r="JS85" s="21"/>
      <c r="JT85" s="21"/>
      <c r="JU85" s="21"/>
      <c r="JV85" s="21"/>
      <c r="JW85" s="21"/>
      <c r="JX85" s="21"/>
      <c r="JY85" s="21"/>
      <c r="JZ85" s="21"/>
      <c r="KA85" s="21"/>
      <c r="KB85" s="21"/>
      <c r="KC85" s="21"/>
      <c r="KD85" s="21"/>
      <c r="KE85" s="21"/>
      <c r="KF85" s="21"/>
      <c r="KG85" s="21"/>
      <c r="KH85" s="21"/>
      <c r="KI85" s="21"/>
      <c r="KJ85" s="21"/>
      <c r="KK85" s="21"/>
      <c r="KL85" s="21"/>
      <c r="KM85" s="21"/>
      <c r="KN85" s="21"/>
      <c r="KO85" s="21"/>
      <c r="KP85" s="21"/>
      <c r="KQ85" s="21"/>
      <c r="KR85" s="21"/>
      <c r="KS85" s="21"/>
      <c r="KT85" s="21"/>
      <c r="KU85" s="21"/>
      <c r="KV85" s="21"/>
      <c r="KW85" s="21"/>
      <c r="KX85" s="21"/>
      <c r="KY85" s="21"/>
      <c r="KZ85" s="21"/>
      <c r="LA85" s="21"/>
      <c r="LB85" s="21"/>
      <c r="LC85" s="21"/>
      <c r="LD85" s="21"/>
      <c r="LE85" s="21"/>
      <c r="LF85" s="21"/>
      <c r="LG85" s="21"/>
      <c r="LH85" s="21"/>
      <c r="LI85" s="21"/>
      <c r="LJ85" s="21"/>
      <c r="LK85" s="21"/>
      <c r="LL85" s="21"/>
      <c r="LM85" s="21"/>
      <c r="LN85" s="21"/>
      <c r="LO85" s="21"/>
      <c r="LP85" s="21"/>
      <c r="LQ85" s="21"/>
      <c r="LR85" s="21"/>
      <c r="LS85" s="21"/>
      <c r="LT85" s="21"/>
      <c r="LU85" s="21"/>
      <c r="LV85" s="21"/>
      <c r="LW85" s="21"/>
      <c r="LX85" s="21"/>
      <c r="LY85" s="21"/>
      <c r="LZ85" s="21"/>
      <c r="MA85" s="21"/>
      <c r="MB85" s="21"/>
      <c r="MC85" s="21"/>
      <c r="MD85" s="21"/>
      <c r="ME85" s="21"/>
      <c r="MF85" s="21"/>
      <c r="MG85" s="21"/>
      <c r="MH85" s="21"/>
      <c r="MI85" s="21"/>
      <c r="MJ85" s="21"/>
      <c r="MK85" s="21"/>
      <c r="ML85" s="21"/>
      <c r="MM85" s="21"/>
      <c r="MN85" s="21"/>
      <c r="MO85" s="21"/>
      <c r="MP85" s="21"/>
      <c r="MQ85" s="21"/>
      <c r="MR85" s="21"/>
      <c r="MS85" s="21"/>
      <c r="MT85" s="21"/>
      <c r="MU85" s="21"/>
      <c r="MV85" s="21"/>
      <c r="MW85" s="21"/>
      <c r="MX85" s="21"/>
      <c r="MY85" s="21"/>
      <c r="MZ85" s="21"/>
      <c r="NA85" s="21"/>
      <c r="NB85" s="21"/>
      <c r="NC85" s="21"/>
      <c r="ND85" s="21"/>
      <c r="NE85" s="21"/>
      <c r="NF85" s="21"/>
      <c r="NG85" s="21"/>
      <c r="NH85" s="21"/>
      <c r="NI85" s="21"/>
      <c r="NJ85" s="21"/>
      <c r="NK85" s="21"/>
      <c r="NL85" s="21"/>
      <c r="NM85" s="21"/>
      <c r="NN85" s="21"/>
      <c r="NO85" s="21"/>
      <c r="NP85" s="21"/>
      <c r="NQ85" s="21"/>
      <c r="NR85" s="21"/>
      <c r="NS85" s="21"/>
      <c r="NT85" s="21"/>
      <c r="NU85" s="21"/>
      <c r="NV85" s="21"/>
      <c r="NW85" s="21"/>
      <c r="NX85" s="21"/>
      <c r="NY85" s="21"/>
      <c r="NZ85" s="21"/>
      <c r="OA85" s="21"/>
      <c r="OB85" s="21"/>
      <c r="OC85" s="21"/>
      <c r="OD85" s="21"/>
      <c r="OE85" s="21"/>
      <c r="OF85" s="21"/>
      <c r="OG85" s="21"/>
      <c r="OH85" s="21"/>
      <c r="OI85" s="21"/>
      <c r="OJ85" s="21"/>
      <c r="OK85" s="21"/>
      <c r="OL85" s="21"/>
      <c r="OM85" s="21"/>
      <c r="ON85" s="21"/>
      <c r="OO85" s="21"/>
      <c r="OP85" s="21"/>
      <c r="OQ85" s="21"/>
      <c r="OR85" s="21"/>
      <c r="OS85" s="21"/>
      <c r="OT85" s="21"/>
      <c r="OU85" s="21"/>
      <c r="OV85" s="21"/>
      <c r="OW85" s="21"/>
      <c r="OX85" s="21"/>
      <c r="OY85" s="21"/>
      <c r="OZ85" s="21"/>
      <c r="PA85" s="21"/>
      <c r="PB85" s="21"/>
      <c r="PC85" s="21"/>
      <c r="PD85" s="21"/>
      <c r="PE85" s="21"/>
      <c r="PF85" s="21"/>
      <c r="PG85" s="21"/>
      <c r="PH85" s="21"/>
      <c r="PI85" s="21"/>
      <c r="PJ85" s="21"/>
      <c r="PK85" s="21"/>
      <c r="PL85" s="21"/>
      <c r="PM85" s="21"/>
      <c r="PN85" s="21"/>
      <c r="PO85" s="21"/>
      <c r="PP85" s="21"/>
      <c r="PQ85" s="21"/>
      <c r="PR85" s="21"/>
      <c r="PS85" s="21"/>
      <c r="PT85" s="21"/>
      <c r="PU85" s="21"/>
      <c r="PV85" s="21"/>
      <c r="PW85" s="21"/>
      <c r="PX85" s="21"/>
      <c r="PY85" s="21"/>
      <c r="PZ85" s="21"/>
      <c r="QA85" s="21"/>
      <c r="QB85" s="21"/>
      <c r="QC85" s="21"/>
      <c r="QD85" s="21"/>
      <c r="QE85" s="21"/>
      <c r="QF85" s="21"/>
      <c r="QG85" s="21"/>
      <c r="QH85" s="21"/>
      <c r="QI85" s="21"/>
      <c r="QJ85" s="21"/>
      <c r="QK85" s="21"/>
      <c r="QL85" s="21"/>
      <c r="QM85" s="21"/>
      <c r="QN85" s="21"/>
      <c r="QO85" s="21"/>
      <c r="QP85" s="21"/>
      <c r="QQ85" s="21"/>
      <c r="QR85" s="21"/>
      <c r="QS85" s="21"/>
      <c r="QT85" s="21"/>
      <c r="QU85" s="21"/>
      <c r="QV85" s="21"/>
      <c r="QW85" s="21"/>
      <c r="QX85" s="21"/>
      <c r="QY85" s="21"/>
      <c r="QZ85" s="21"/>
      <c r="RA85" s="21"/>
      <c r="RB85" s="21"/>
      <c r="RC85" s="21"/>
      <c r="RD85" s="21"/>
      <c r="RE85" s="21"/>
      <c r="RF85" s="21"/>
      <c r="RG85" s="21"/>
      <c r="RH85" s="21"/>
      <c r="RI85" s="21"/>
      <c r="RJ85" s="21"/>
      <c r="RK85" s="21"/>
      <c r="RL85" s="21"/>
      <c r="RM85" s="21"/>
      <c r="RN85" s="21"/>
      <c r="RO85" s="21"/>
      <c r="RP85" s="21"/>
      <c r="RQ85" s="21"/>
      <c r="RR85" s="21"/>
      <c r="RS85" s="21"/>
      <c r="RT85" s="21"/>
      <c r="RU85" s="21"/>
      <c r="RV85" s="21"/>
      <c r="RW85" s="21"/>
      <c r="RX85" s="21"/>
      <c r="RY85" s="21"/>
      <c r="RZ85" s="21"/>
      <c r="SA85" s="21"/>
      <c r="SB85" s="21"/>
      <c r="SC85" s="21"/>
      <c r="SD85" s="21"/>
      <c r="SE85" s="21"/>
      <c r="SF85" s="21"/>
      <c r="SG85" s="21"/>
      <c r="SH85" s="21"/>
      <c r="SI85" s="21"/>
      <c r="SJ85" s="21"/>
      <c r="SK85" s="21"/>
      <c r="SL85" s="21"/>
      <c r="SM85" s="21"/>
      <c r="SN85" s="21"/>
      <c r="SO85" s="21"/>
      <c r="SP85" s="21"/>
      <c r="SQ85" s="21"/>
      <c r="SR85" s="21"/>
      <c r="SS85" s="21"/>
      <c r="ST85" s="21"/>
      <c r="SU85" s="21"/>
      <c r="SV85" s="21"/>
      <c r="SW85" s="21"/>
      <c r="SX85" s="21"/>
      <c r="SY85" s="21"/>
      <c r="SZ85" s="21"/>
      <c r="TA85" s="21"/>
      <c r="TB85" s="21"/>
      <c r="TC85" s="21"/>
      <c r="TD85" s="21"/>
      <c r="TE85" s="21"/>
      <c r="TF85" s="21"/>
      <c r="TG85" s="21"/>
      <c r="TH85" s="21"/>
      <c r="TI85" s="21"/>
      <c r="TJ85" s="21"/>
      <c r="TK85" s="21"/>
      <c r="TL85" s="21"/>
      <c r="TM85" s="21"/>
      <c r="TN85" s="21"/>
      <c r="TO85" s="21"/>
      <c r="TP85" s="21"/>
      <c r="TQ85" s="21"/>
      <c r="TR85" s="21"/>
      <c r="TS85" s="21"/>
      <c r="TT85" s="21"/>
      <c r="TU85" s="21"/>
      <c r="TV85" s="21"/>
      <c r="TW85" s="21"/>
      <c r="TX85" s="21"/>
      <c r="TY85" s="21"/>
      <c r="TZ85" s="21"/>
      <c r="UA85" s="21"/>
      <c r="UB85" s="21"/>
      <c r="UC85" s="21"/>
      <c r="UD85" s="21"/>
      <c r="UE85" s="21"/>
      <c r="UF85" s="21"/>
      <c r="UG85" s="21"/>
      <c r="UH85" s="21"/>
      <c r="UI85" s="21"/>
      <c r="UJ85" s="21"/>
      <c r="UK85" s="21"/>
      <c r="UL85" s="21"/>
      <c r="UM85" s="21"/>
      <c r="UN85" s="21"/>
      <c r="UO85" s="21"/>
      <c r="UP85" s="21"/>
      <c r="UQ85" s="21"/>
      <c r="UR85" s="21"/>
      <c r="US85" s="21"/>
      <c r="UT85" s="21"/>
      <c r="UU85" s="21"/>
      <c r="UV85" s="21"/>
      <c r="UW85" s="21"/>
      <c r="UX85" s="21"/>
      <c r="UY85" s="21"/>
      <c r="UZ85" s="21"/>
      <c r="VA85" s="21"/>
      <c r="VB85" s="21"/>
      <c r="VC85" s="21"/>
      <c r="VD85" s="21"/>
      <c r="VE85" s="21"/>
      <c r="VF85" s="21"/>
      <c r="VG85" s="21"/>
      <c r="VH85" s="21"/>
      <c r="VI85" s="21"/>
      <c r="VJ85" s="21"/>
      <c r="VK85" s="21"/>
      <c r="VL85" s="21"/>
      <c r="VM85" s="21"/>
      <c r="VN85" s="21"/>
      <c r="VO85" s="21"/>
      <c r="VP85" s="21"/>
      <c r="VQ85" s="21"/>
      <c r="VR85" s="21"/>
      <c r="VS85" s="21"/>
      <c r="VT85" s="21"/>
      <c r="VU85" s="21"/>
      <c r="VV85" s="21"/>
      <c r="VW85" s="21"/>
      <c r="VX85" s="21"/>
      <c r="VY85" s="21"/>
      <c r="VZ85" s="21"/>
      <c r="WA85" s="21"/>
      <c r="WB85" s="21"/>
      <c r="WC85" s="21"/>
      <c r="WD85" s="21"/>
      <c r="WE85" s="21"/>
      <c r="WF85" s="21"/>
      <c r="WG85" s="21"/>
      <c r="WH85" s="21"/>
      <c r="WI85" s="21"/>
      <c r="WJ85" s="21"/>
      <c r="WK85" s="21"/>
      <c r="WL85" s="21"/>
      <c r="WM85" s="21"/>
      <c r="WN85" s="21"/>
      <c r="WO85" s="21"/>
      <c r="WP85" s="21"/>
      <c r="WQ85" s="21"/>
      <c r="WR85" s="21"/>
      <c r="WS85" s="21"/>
      <c r="WT85" s="21"/>
      <c r="WU85" s="21"/>
      <c r="WV85" s="21"/>
      <c r="WW85" s="21"/>
      <c r="WX85" s="21"/>
      <c r="WY85" s="21"/>
      <c r="WZ85" s="21"/>
      <c r="XA85" s="21"/>
      <c r="XB85" s="21"/>
      <c r="XC85" s="21"/>
      <c r="XD85" s="21"/>
      <c r="XE85" s="21"/>
      <c r="XF85" s="21"/>
      <c r="XG85" s="21"/>
      <c r="XH85" s="21"/>
      <c r="XI85" s="21"/>
      <c r="XJ85" s="21"/>
      <c r="XK85" s="21"/>
      <c r="XL85" s="21"/>
      <c r="XM85" s="21"/>
      <c r="XN85" s="21"/>
      <c r="XO85" s="21"/>
      <c r="XP85" s="21"/>
      <c r="XQ85" s="21"/>
      <c r="XR85" s="21"/>
      <c r="XS85" s="21"/>
      <c r="XT85" s="21"/>
      <c r="XU85" s="21"/>
      <c r="XV85" s="21"/>
      <c r="XW85" s="21"/>
      <c r="XX85" s="21"/>
      <c r="XY85" s="21"/>
      <c r="XZ85" s="21"/>
      <c r="YA85" s="21"/>
      <c r="YB85" s="21"/>
      <c r="YC85" s="21"/>
      <c r="YD85" s="21"/>
      <c r="YE85" s="21"/>
      <c r="YF85" s="21"/>
      <c r="YG85" s="21"/>
      <c r="YH85" s="21"/>
      <c r="YI85" s="21"/>
      <c r="YJ85" s="21"/>
      <c r="YK85" s="21"/>
      <c r="YL85" s="21"/>
      <c r="YM85" s="21"/>
      <c r="YN85" s="21"/>
      <c r="YO85" s="21"/>
      <c r="YP85" s="21"/>
      <c r="YQ85" s="21"/>
      <c r="YR85" s="21"/>
      <c r="YS85" s="21"/>
      <c r="YT85" s="21"/>
      <c r="YU85" s="21"/>
      <c r="YV85" s="21"/>
      <c r="YW85" s="21"/>
      <c r="YX85" s="21"/>
      <c r="YY85" s="21"/>
      <c r="YZ85" s="21"/>
      <c r="ZA85" s="21"/>
      <c r="ZB85" s="21"/>
      <c r="ZC85" s="21"/>
      <c r="ZD85" s="21"/>
      <c r="ZE85" s="21"/>
      <c r="ZF85" s="21"/>
      <c r="ZG85" s="21"/>
      <c r="ZH85" s="21"/>
      <c r="ZI85" s="21"/>
      <c r="ZJ85" s="21"/>
      <c r="ZK85" s="21"/>
      <c r="ZL85" s="21"/>
      <c r="ZM85" s="21"/>
      <c r="ZN85" s="21"/>
      <c r="ZO85" s="21"/>
      <c r="ZP85" s="21"/>
      <c r="ZQ85" s="21"/>
      <c r="ZR85" s="21"/>
      <c r="ZS85" s="21"/>
      <c r="ZT85" s="21"/>
      <c r="ZU85" s="21"/>
      <c r="ZV85" s="21"/>
      <c r="ZW85" s="21"/>
      <c r="ZX85" s="21"/>
      <c r="ZY85" s="21"/>
      <c r="ZZ85" s="21"/>
      <c r="AAA85" s="21"/>
      <c r="AAB85" s="21"/>
      <c r="AAC85" s="21"/>
      <c r="AAD85" s="21"/>
      <c r="AAE85" s="21"/>
      <c r="AAF85" s="21"/>
      <c r="AAG85" s="21"/>
      <c r="AAH85" s="21"/>
      <c r="AAI85" s="21"/>
      <c r="AAJ85" s="21"/>
      <c r="AAK85" s="21"/>
      <c r="AAL85" s="21"/>
      <c r="AAM85" s="21"/>
      <c r="AAN85" s="21"/>
      <c r="AAO85" s="21"/>
      <c r="AAP85" s="21"/>
      <c r="AAQ85" s="21"/>
      <c r="AAR85" s="21"/>
      <c r="AAS85" s="21"/>
      <c r="AAT85" s="21"/>
      <c r="AAU85" s="21"/>
      <c r="AAV85" s="21"/>
      <c r="AAW85" s="21"/>
      <c r="AAX85" s="21"/>
      <c r="AAY85" s="21"/>
      <c r="AAZ85" s="21"/>
      <c r="ABA85" s="21"/>
      <c r="ABB85" s="21"/>
      <c r="ABC85" s="21"/>
      <c r="ABD85" s="21"/>
      <c r="ABE85" s="21"/>
      <c r="ABF85" s="21"/>
      <c r="ABG85" s="21"/>
      <c r="ABH85" s="21"/>
      <c r="ABI85" s="21"/>
      <c r="ABJ85" s="21"/>
      <c r="ABK85" s="21"/>
      <c r="ABL85" s="21"/>
      <c r="ABM85" s="21"/>
      <c r="ABN85" s="21"/>
      <c r="ABO85" s="21"/>
      <c r="ABP85" s="21"/>
      <c r="ABQ85" s="21"/>
      <c r="ABR85" s="21"/>
      <c r="ABS85" s="21"/>
      <c r="ABT85" s="21"/>
      <c r="ABU85" s="21"/>
      <c r="ABV85" s="21"/>
      <c r="ABW85" s="21"/>
      <c r="ABX85" s="21"/>
      <c r="ABY85" s="21"/>
      <c r="ABZ85" s="21"/>
      <c r="ACA85" s="21"/>
      <c r="ACB85" s="21"/>
      <c r="ACC85" s="21"/>
      <c r="ACD85" s="21"/>
      <c r="ACE85" s="21"/>
      <c r="ACF85" s="21"/>
      <c r="ACG85" s="21"/>
      <c r="ACH85" s="21"/>
      <c r="ACI85" s="21"/>
      <c r="ACJ85" s="21"/>
      <c r="ACK85" s="21"/>
      <c r="ACL85" s="21"/>
      <c r="ACM85" s="21"/>
      <c r="ACN85" s="21"/>
      <c r="ACO85" s="21"/>
      <c r="ACP85" s="21"/>
      <c r="ACQ85" s="21"/>
      <c r="ACR85" s="21"/>
      <c r="ACS85" s="21"/>
      <c r="ACT85" s="21"/>
      <c r="ACU85" s="21"/>
      <c r="ACV85" s="21"/>
      <c r="ACW85" s="21"/>
      <c r="ACX85" s="21"/>
      <c r="ACY85" s="21"/>
      <c r="ACZ85" s="21"/>
      <c r="ADA85" s="21"/>
      <c r="ADB85" s="21"/>
      <c r="ADC85" s="21"/>
      <c r="ADD85" s="21"/>
      <c r="ADE85" s="21"/>
      <c r="ADF85" s="21"/>
      <c r="ADG85" s="21"/>
      <c r="ADH85" s="21"/>
      <c r="ADI85" s="21"/>
      <c r="ADJ85" s="21"/>
      <c r="ADK85" s="21"/>
      <c r="ADL85" s="21"/>
      <c r="ADM85" s="21"/>
      <c r="ADN85" s="21"/>
      <c r="ADO85" s="21"/>
      <c r="ADP85" s="21"/>
      <c r="ADQ85" s="21"/>
      <c r="ADR85" s="21"/>
      <c r="ADS85" s="21"/>
      <c r="ADT85" s="21"/>
      <c r="ADU85" s="21"/>
      <c r="ADV85" s="21"/>
      <c r="ADW85" s="21"/>
      <c r="ADX85" s="21"/>
      <c r="ADY85" s="21"/>
      <c r="ADZ85" s="21"/>
      <c r="AEA85" s="21"/>
      <c r="AEB85" s="21"/>
      <c r="AEC85" s="21"/>
      <c r="AED85" s="21"/>
      <c r="AEE85" s="21"/>
      <c r="AEF85" s="21"/>
      <c r="AEG85" s="21"/>
    </row>
    <row r="86" spans="1:813" s="93" customFormat="1" ht="120" x14ac:dyDescent="0.25">
      <c r="A86" s="179">
        <v>28</v>
      </c>
      <c r="B86" s="183" t="s">
        <v>320</v>
      </c>
      <c r="C86" s="80" t="s">
        <v>319</v>
      </c>
      <c r="D86" s="63" t="s">
        <v>318</v>
      </c>
      <c r="E86" s="118" t="s">
        <v>317</v>
      </c>
      <c r="F86" s="117"/>
      <c r="G86" s="32"/>
      <c r="H86" s="32"/>
      <c r="I86" s="32"/>
      <c r="J86" s="32"/>
      <c r="K86" s="32"/>
      <c r="L86" s="32"/>
      <c r="M86" s="32"/>
      <c r="N86" s="32">
        <v>200</v>
      </c>
      <c r="O86" s="32"/>
      <c r="P86" s="32"/>
      <c r="Q86" s="32"/>
      <c r="R86" s="32">
        <v>90</v>
      </c>
      <c r="S86" s="32"/>
      <c r="T86" s="32"/>
      <c r="U86" s="32"/>
      <c r="V86" s="32"/>
      <c r="W86" s="32"/>
      <c r="X86" s="32"/>
      <c r="Y86" s="32"/>
      <c r="Z86" s="32">
        <v>5</v>
      </c>
      <c r="AA86" s="32"/>
      <c r="AB86" s="32"/>
      <c r="AC86" s="32"/>
      <c r="AD86" s="32"/>
      <c r="AE86" s="32"/>
      <c r="AF86" s="32">
        <f t="shared" si="21"/>
        <v>295</v>
      </c>
      <c r="AG86" s="32"/>
      <c r="AH86" s="32"/>
      <c r="AI86" s="32">
        <v>90</v>
      </c>
      <c r="AJ86" s="31">
        <v>28329.230680127133</v>
      </c>
      <c r="AK86" s="31">
        <v>2307.6074856980426</v>
      </c>
      <c r="AL86" s="31">
        <v>30636.838165825175</v>
      </c>
      <c r="AM86" s="30" t="s">
        <v>18</v>
      </c>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c r="FT86" s="21"/>
      <c r="FU86" s="21"/>
      <c r="FV86" s="21"/>
      <c r="FW86" s="21"/>
      <c r="FX86" s="21"/>
      <c r="FY86" s="21"/>
      <c r="FZ86" s="21"/>
      <c r="GA86" s="21"/>
      <c r="GB86" s="21"/>
      <c r="GC86" s="21"/>
      <c r="GD86" s="21"/>
      <c r="GE86" s="21"/>
      <c r="GF86" s="21"/>
      <c r="GG86" s="21"/>
      <c r="GH86" s="21"/>
      <c r="GI86" s="21"/>
      <c r="GJ86" s="21"/>
      <c r="GK86" s="21"/>
      <c r="GL86" s="21"/>
      <c r="GM86" s="21"/>
      <c r="GN86" s="21"/>
      <c r="GO86" s="21"/>
      <c r="GP86" s="21"/>
      <c r="GQ86" s="21"/>
      <c r="GR86" s="21"/>
      <c r="GS86" s="21"/>
      <c r="GT86" s="21"/>
      <c r="GU86" s="21"/>
      <c r="GV86" s="21"/>
      <c r="GW86" s="21"/>
      <c r="GX86" s="21"/>
      <c r="GY86" s="21"/>
      <c r="GZ86" s="21"/>
      <c r="HA86" s="21"/>
      <c r="HB86" s="21"/>
      <c r="HC86" s="21"/>
      <c r="HD86" s="21"/>
      <c r="HE86" s="21"/>
      <c r="HF86" s="21"/>
      <c r="HG86" s="21"/>
      <c r="HH86" s="21"/>
      <c r="HI86" s="21"/>
      <c r="HJ86" s="21"/>
      <c r="HK86" s="21"/>
      <c r="HL86" s="21"/>
      <c r="HM86" s="21"/>
      <c r="HN86" s="21"/>
      <c r="HO86" s="21"/>
      <c r="HP86" s="21"/>
      <c r="HQ86" s="21"/>
      <c r="HR86" s="21"/>
      <c r="HS86" s="21"/>
      <c r="HT86" s="21"/>
      <c r="HU86" s="21"/>
      <c r="HV86" s="21"/>
      <c r="HW86" s="21"/>
      <c r="HX86" s="21"/>
      <c r="HY86" s="21"/>
      <c r="HZ86" s="21"/>
      <c r="IA86" s="21"/>
      <c r="IB86" s="21"/>
      <c r="IC86" s="21"/>
      <c r="ID86" s="21"/>
      <c r="IE86" s="21"/>
      <c r="IF86" s="21"/>
      <c r="IG86" s="21"/>
      <c r="IH86" s="21"/>
      <c r="II86" s="21"/>
      <c r="IJ86" s="21"/>
      <c r="IK86" s="21"/>
      <c r="IL86" s="21"/>
      <c r="IM86" s="21"/>
      <c r="IN86" s="21"/>
      <c r="IO86" s="21"/>
      <c r="IP86" s="21"/>
      <c r="IQ86" s="21"/>
      <c r="IR86" s="21"/>
      <c r="IS86" s="21"/>
      <c r="IT86" s="21"/>
      <c r="IU86" s="21"/>
      <c r="IV86" s="21"/>
      <c r="IW86" s="21"/>
      <c r="IX86" s="21"/>
      <c r="IY86" s="21"/>
      <c r="IZ86" s="21"/>
      <c r="JA86" s="21"/>
      <c r="JB86" s="21"/>
      <c r="JC86" s="21"/>
      <c r="JD86" s="21"/>
      <c r="JE86" s="21"/>
      <c r="JF86" s="21"/>
      <c r="JG86" s="21"/>
      <c r="JH86" s="21"/>
      <c r="JI86" s="21"/>
      <c r="JJ86" s="21"/>
      <c r="JK86" s="21"/>
      <c r="JL86" s="21"/>
      <c r="JM86" s="21"/>
      <c r="JN86" s="21"/>
      <c r="JO86" s="21"/>
      <c r="JP86" s="21"/>
      <c r="JQ86" s="21"/>
      <c r="JR86" s="21"/>
      <c r="JS86" s="21"/>
      <c r="JT86" s="21"/>
      <c r="JU86" s="21"/>
      <c r="JV86" s="21"/>
      <c r="JW86" s="21"/>
      <c r="JX86" s="21"/>
      <c r="JY86" s="21"/>
      <c r="JZ86" s="21"/>
      <c r="KA86" s="21"/>
      <c r="KB86" s="21"/>
      <c r="KC86" s="21"/>
      <c r="KD86" s="21"/>
      <c r="KE86" s="21"/>
      <c r="KF86" s="21"/>
      <c r="KG86" s="21"/>
      <c r="KH86" s="21"/>
      <c r="KI86" s="21"/>
      <c r="KJ86" s="21"/>
      <c r="KK86" s="21"/>
      <c r="KL86" s="21"/>
      <c r="KM86" s="21"/>
      <c r="KN86" s="21"/>
      <c r="KO86" s="21"/>
      <c r="KP86" s="21"/>
      <c r="KQ86" s="21"/>
      <c r="KR86" s="21"/>
      <c r="KS86" s="21"/>
      <c r="KT86" s="21"/>
      <c r="KU86" s="21"/>
      <c r="KV86" s="21"/>
      <c r="KW86" s="21"/>
      <c r="KX86" s="21"/>
      <c r="KY86" s="21"/>
      <c r="KZ86" s="21"/>
      <c r="LA86" s="21"/>
      <c r="LB86" s="21"/>
      <c r="LC86" s="21"/>
      <c r="LD86" s="21"/>
      <c r="LE86" s="21"/>
      <c r="LF86" s="21"/>
      <c r="LG86" s="21"/>
      <c r="LH86" s="21"/>
      <c r="LI86" s="21"/>
      <c r="LJ86" s="21"/>
      <c r="LK86" s="21"/>
      <c r="LL86" s="21"/>
      <c r="LM86" s="21"/>
      <c r="LN86" s="21"/>
      <c r="LO86" s="21"/>
      <c r="LP86" s="21"/>
      <c r="LQ86" s="21"/>
      <c r="LR86" s="21"/>
      <c r="LS86" s="21"/>
      <c r="LT86" s="21"/>
      <c r="LU86" s="21"/>
      <c r="LV86" s="21"/>
      <c r="LW86" s="21"/>
      <c r="LX86" s="21"/>
      <c r="LY86" s="21"/>
      <c r="LZ86" s="21"/>
      <c r="MA86" s="21"/>
      <c r="MB86" s="21"/>
      <c r="MC86" s="21"/>
      <c r="MD86" s="21"/>
      <c r="ME86" s="21"/>
      <c r="MF86" s="21"/>
      <c r="MG86" s="21"/>
      <c r="MH86" s="21"/>
      <c r="MI86" s="21"/>
      <c r="MJ86" s="21"/>
      <c r="MK86" s="21"/>
      <c r="ML86" s="21"/>
      <c r="MM86" s="21"/>
      <c r="MN86" s="21"/>
      <c r="MO86" s="21"/>
      <c r="MP86" s="21"/>
      <c r="MQ86" s="21"/>
      <c r="MR86" s="21"/>
      <c r="MS86" s="21"/>
      <c r="MT86" s="21"/>
      <c r="MU86" s="21"/>
      <c r="MV86" s="21"/>
      <c r="MW86" s="21"/>
      <c r="MX86" s="21"/>
      <c r="MY86" s="21"/>
      <c r="MZ86" s="21"/>
      <c r="NA86" s="21"/>
      <c r="NB86" s="21"/>
      <c r="NC86" s="21"/>
      <c r="ND86" s="21"/>
      <c r="NE86" s="21"/>
      <c r="NF86" s="21"/>
      <c r="NG86" s="21"/>
      <c r="NH86" s="21"/>
      <c r="NI86" s="21"/>
      <c r="NJ86" s="21"/>
      <c r="NK86" s="21"/>
      <c r="NL86" s="21"/>
      <c r="NM86" s="21"/>
      <c r="NN86" s="21"/>
      <c r="NO86" s="21"/>
      <c r="NP86" s="21"/>
      <c r="NQ86" s="21"/>
      <c r="NR86" s="21"/>
      <c r="NS86" s="21"/>
      <c r="NT86" s="21"/>
      <c r="NU86" s="21"/>
      <c r="NV86" s="21"/>
      <c r="NW86" s="21"/>
      <c r="NX86" s="21"/>
      <c r="NY86" s="21"/>
      <c r="NZ86" s="21"/>
      <c r="OA86" s="21"/>
      <c r="OB86" s="21"/>
      <c r="OC86" s="21"/>
      <c r="OD86" s="21"/>
      <c r="OE86" s="21"/>
      <c r="OF86" s="21"/>
      <c r="OG86" s="21"/>
      <c r="OH86" s="21"/>
      <c r="OI86" s="21"/>
      <c r="OJ86" s="21"/>
      <c r="OK86" s="21"/>
      <c r="OL86" s="21"/>
      <c r="OM86" s="21"/>
      <c r="ON86" s="21"/>
      <c r="OO86" s="21"/>
      <c r="OP86" s="21"/>
      <c r="OQ86" s="21"/>
      <c r="OR86" s="21"/>
      <c r="OS86" s="21"/>
      <c r="OT86" s="21"/>
      <c r="OU86" s="21"/>
      <c r="OV86" s="21"/>
      <c r="OW86" s="21"/>
      <c r="OX86" s="21"/>
      <c r="OY86" s="21"/>
      <c r="OZ86" s="21"/>
      <c r="PA86" s="21"/>
      <c r="PB86" s="21"/>
      <c r="PC86" s="21"/>
      <c r="PD86" s="21"/>
      <c r="PE86" s="21"/>
      <c r="PF86" s="21"/>
      <c r="PG86" s="21"/>
      <c r="PH86" s="21"/>
      <c r="PI86" s="21"/>
      <c r="PJ86" s="21"/>
      <c r="PK86" s="21"/>
      <c r="PL86" s="21"/>
      <c r="PM86" s="21"/>
      <c r="PN86" s="21"/>
      <c r="PO86" s="21"/>
      <c r="PP86" s="21"/>
      <c r="PQ86" s="21"/>
      <c r="PR86" s="21"/>
      <c r="PS86" s="21"/>
      <c r="PT86" s="21"/>
      <c r="PU86" s="21"/>
      <c r="PV86" s="21"/>
      <c r="PW86" s="21"/>
      <c r="PX86" s="21"/>
      <c r="PY86" s="21"/>
      <c r="PZ86" s="21"/>
      <c r="QA86" s="21"/>
      <c r="QB86" s="21"/>
      <c r="QC86" s="21"/>
      <c r="QD86" s="21"/>
      <c r="QE86" s="21"/>
      <c r="QF86" s="21"/>
      <c r="QG86" s="21"/>
      <c r="QH86" s="21"/>
      <c r="QI86" s="21"/>
      <c r="QJ86" s="21"/>
      <c r="QK86" s="21"/>
      <c r="QL86" s="21"/>
      <c r="QM86" s="21"/>
      <c r="QN86" s="21"/>
      <c r="QO86" s="21"/>
      <c r="QP86" s="21"/>
      <c r="QQ86" s="21"/>
      <c r="QR86" s="21"/>
      <c r="QS86" s="21"/>
      <c r="QT86" s="21"/>
      <c r="QU86" s="21"/>
      <c r="QV86" s="21"/>
      <c r="QW86" s="21"/>
      <c r="QX86" s="21"/>
      <c r="QY86" s="21"/>
      <c r="QZ86" s="21"/>
      <c r="RA86" s="21"/>
      <c r="RB86" s="21"/>
      <c r="RC86" s="21"/>
      <c r="RD86" s="21"/>
      <c r="RE86" s="21"/>
      <c r="RF86" s="21"/>
      <c r="RG86" s="21"/>
      <c r="RH86" s="21"/>
      <c r="RI86" s="21"/>
      <c r="RJ86" s="21"/>
      <c r="RK86" s="21"/>
      <c r="RL86" s="21"/>
      <c r="RM86" s="21"/>
      <c r="RN86" s="21"/>
      <c r="RO86" s="21"/>
      <c r="RP86" s="21"/>
      <c r="RQ86" s="21"/>
      <c r="RR86" s="21"/>
      <c r="RS86" s="21"/>
      <c r="RT86" s="21"/>
      <c r="RU86" s="21"/>
      <c r="RV86" s="21"/>
      <c r="RW86" s="21"/>
      <c r="RX86" s="21"/>
      <c r="RY86" s="21"/>
      <c r="RZ86" s="21"/>
      <c r="SA86" s="21"/>
      <c r="SB86" s="21"/>
      <c r="SC86" s="21"/>
      <c r="SD86" s="21"/>
      <c r="SE86" s="21"/>
      <c r="SF86" s="21"/>
      <c r="SG86" s="21"/>
      <c r="SH86" s="21"/>
      <c r="SI86" s="21"/>
      <c r="SJ86" s="21"/>
      <c r="SK86" s="21"/>
      <c r="SL86" s="21"/>
      <c r="SM86" s="21"/>
      <c r="SN86" s="21"/>
      <c r="SO86" s="21"/>
      <c r="SP86" s="21"/>
      <c r="SQ86" s="21"/>
      <c r="SR86" s="21"/>
      <c r="SS86" s="21"/>
      <c r="ST86" s="21"/>
      <c r="SU86" s="21"/>
      <c r="SV86" s="21"/>
      <c r="SW86" s="21"/>
      <c r="SX86" s="21"/>
      <c r="SY86" s="21"/>
      <c r="SZ86" s="21"/>
      <c r="TA86" s="21"/>
      <c r="TB86" s="21"/>
      <c r="TC86" s="21"/>
      <c r="TD86" s="21"/>
      <c r="TE86" s="21"/>
      <c r="TF86" s="21"/>
      <c r="TG86" s="21"/>
      <c r="TH86" s="21"/>
      <c r="TI86" s="21"/>
      <c r="TJ86" s="21"/>
      <c r="TK86" s="21"/>
      <c r="TL86" s="21"/>
      <c r="TM86" s="21"/>
      <c r="TN86" s="21"/>
      <c r="TO86" s="21"/>
      <c r="TP86" s="21"/>
      <c r="TQ86" s="21"/>
      <c r="TR86" s="21"/>
      <c r="TS86" s="21"/>
      <c r="TT86" s="21"/>
      <c r="TU86" s="21"/>
      <c r="TV86" s="21"/>
      <c r="TW86" s="21"/>
      <c r="TX86" s="21"/>
      <c r="TY86" s="21"/>
      <c r="TZ86" s="21"/>
      <c r="UA86" s="21"/>
      <c r="UB86" s="21"/>
      <c r="UC86" s="21"/>
      <c r="UD86" s="21"/>
      <c r="UE86" s="21"/>
      <c r="UF86" s="21"/>
      <c r="UG86" s="21"/>
      <c r="UH86" s="21"/>
      <c r="UI86" s="21"/>
      <c r="UJ86" s="21"/>
      <c r="UK86" s="21"/>
      <c r="UL86" s="21"/>
      <c r="UM86" s="21"/>
      <c r="UN86" s="21"/>
      <c r="UO86" s="21"/>
      <c r="UP86" s="21"/>
      <c r="UQ86" s="21"/>
      <c r="UR86" s="21"/>
      <c r="US86" s="21"/>
      <c r="UT86" s="21"/>
      <c r="UU86" s="21"/>
      <c r="UV86" s="21"/>
      <c r="UW86" s="21"/>
      <c r="UX86" s="21"/>
      <c r="UY86" s="21"/>
      <c r="UZ86" s="21"/>
      <c r="VA86" s="21"/>
      <c r="VB86" s="21"/>
      <c r="VC86" s="21"/>
      <c r="VD86" s="21"/>
      <c r="VE86" s="21"/>
      <c r="VF86" s="21"/>
      <c r="VG86" s="21"/>
      <c r="VH86" s="21"/>
      <c r="VI86" s="21"/>
      <c r="VJ86" s="21"/>
      <c r="VK86" s="21"/>
      <c r="VL86" s="21"/>
      <c r="VM86" s="21"/>
      <c r="VN86" s="21"/>
      <c r="VO86" s="21"/>
      <c r="VP86" s="21"/>
      <c r="VQ86" s="21"/>
      <c r="VR86" s="21"/>
      <c r="VS86" s="21"/>
      <c r="VT86" s="21"/>
      <c r="VU86" s="21"/>
      <c r="VV86" s="21"/>
      <c r="VW86" s="21"/>
      <c r="VX86" s="21"/>
      <c r="VY86" s="21"/>
      <c r="VZ86" s="21"/>
      <c r="WA86" s="21"/>
      <c r="WB86" s="21"/>
      <c r="WC86" s="21"/>
      <c r="WD86" s="21"/>
      <c r="WE86" s="21"/>
      <c r="WF86" s="21"/>
      <c r="WG86" s="21"/>
      <c r="WH86" s="21"/>
      <c r="WI86" s="21"/>
      <c r="WJ86" s="21"/>
      <c r="WK86" s="21"/>
      <c r="WL86" s="21"/>
      <c r="WM86" s="21"/>
      <c r="WN86" s="21"/>
      <c r="WO86" s="21"/>
      <c r="WP86" s="21"/>
      <c r="WQ86" s="21"/>
      <c r="WR86" s="21"/>
      <c r="WS86" s="21"/>
      <c r="WT86" s="21"/>
      <c r="WU86" s="21"/>
      <c r="WV86" s="21"/>
      <c r="WW86" s="21"/>
      <c r="WX86" s="21"/>
      <c r="WY86" s="21"/>
      <c r="WZ86" s="21"/>
      <c r="XA86" s="21"/>
      <c r="XB86" s="21"/>
      <c r="XC86" s="21"/>
      <c r="XD86" s="21"/>
      <c r="XE86" s="21"/>
      <c r="XF86" s="21"/>
      <c r="XG86" s="21"/>
      <c r="XH86" s="21"/>
      <c r="XI86" s="21"/>
      <c r="XJ86" s="21"/>
      <c r="XK86" s="21"/>
      <c r="XL86" s="21"/>
      <c r="XM86" s="21"/>
      <c r="XN86" s="21"/>
      <c r="XO86" s="21"/>
      <c r="XP86" s="21"/>
      <c r="XQ86" s="21"/>
      <c r="XR86" s="21"/>
      <c r="XS86" s="21"/>
      <c r="XT86" s="21"/>
      <c r="XU86" s="21"/>
      <c r="XV86" s="21"/>
      <c r="XW86" s="21"/>
      <c r="XX86" s="21"/>
      <c r="XY86" s="21"/>
      <c r="XZ86" s="21"/>
      <c r="YA86" s="21"/>
      <c r="YB86" s="21"/>
      <c r="YC86" s="21"/>
      <c r="YD86" s="21"/>
      <c r="YE86" s="21"/>
      <c r="YF86" s="21"/>
      <c r="YG86" s="21"/>
      <c r="YH86" s="21"/>
      <c r="YI86" s="21"/>
      <c r="YJ86" s="21"/>
      <c r="YK86" s="21"/>
      <c r="YL86" s="21"/>
      <c r="YM86" s="21"/>
      <c r="YN86" s="21"/>
      <c r="YO86" s="21"/>
      <c r="YP86" s="21"/>
      <c r="YQ86" s="21"/>
      <c r="YR86" s="21"/>
      <c r="YS86" s="21"/>
      <c r="YT86" s="21"/>
      <c r="YU86" s="21"/>
      <c r="YV86" s="21"/>
      <c r="YW86" s="21"/>
      <c r="YX86" s="21"/>
      <c r="YY86" s="21"/>
      <c r="YZ86" s="21"/>
      <c r="ZA86" s="21"/>
      <c r="ZB86" s="21"/>
      <c r="ZC86" s="21"/>
      <c r="ZD86" s="21"/>
      <c r="ZE86" s="21"/>
      <c r="ZF86" s="21"/>
      <c r="ZG86" s="21"/>
      <c r="ZH86" s="21"/>
      <c r="ZI86" s="21"/>
      <c r="ZJ86" s="21"/>
      <c r="ZK86" s="21"/>
      <c r="ZL86" s="21"/>
      <c r="ZM86" s="21"/>
      <c r="ZN86" s="21"/>
      <c r="ZO86" s="21"/>
      <c r="ZP86" s="21"/>
      <c r="ZQ86" s="21"/>
      <c r="ZR86" s="21"/>
      <c r="ZS86" s="21"/>
      <c r="ZT86" s="21"/>
      <c r="ZU86" s="21"/>
      <c r="ZV86" s="21"/>
      <c r="ZW86" s="21"/>
      <c r="ZX86" s="21"/>
      <c r="ZY86" s="21"/>
      <c r="ZZ86" s="21"/>
      <c r="AAA86" s="21"/>
      <c r="AAB86" s="21"/>
      <c r="AAC86" s="21"/>
      <c r="AAD86" s="21"/>
      <c r="AAE86" s="21"/>
      <c r="AAF86" s="21"/>
      <c r="AAG86" s="21"/>
      <c r="AAH86" s="21"/>
      <c r="AAI86" s="21"/>
      <c r="AAJ86" s="21"/>
      <c r="AAK86" s="21"/>
      <c r="AAL86" s="21"/>
      <c r="AAM86" s="21"/>
      <c r="AAN86" s="21"/>
      <c r="AAO86" s="21"/>
      <c r="AAP86" s="21"/>
      <c r="AAQ86" s="21"/>
      <c r="AAR86" s="21"/>
      <c r="AAS86" s="21"/>
      <c r="AAT86" s="21"/>
      <c r="AAU86" s="21"/>
      <c r="AAV86" s="21"/>
      <c r="AAW86" s="21"/>
      <c r="AAX86" s="21"/>
      <c r="AAY86" s="21"/>
      <c r="AAZ86" s="21"/>
      <c r="ABA86" s="21"/>
      <c r="ABB86" s="21"/>
      <c r="ABC86" s="21"/>
      <c r="ABD86" s="21"/>
      <c r="ABE86" s="21"/>
      <c r="ABF86" s="21"/>
      <c r="ABG86" s="21"/>
      <c r="ABH86" s="21"/>
      <c r="ABI86" s="21"/>
      <c r="ABJ86" s="21"/>
      <c r="ABK86" s="21"/>
      <c r="ABL86" s="21"/>
      <c r="ABM86" s="21"/>
      <c r="ABN86" s="21"/>
      <c r="ABO86" s="21"/>
      <c r="ABP86" s="21"/>
      <c r="ABQ86" s="21"/>
      <c r="ABR86" s="21"/>
      <c r="ABS86" s="21"/>
      <c r="ABT86" s="21"/>
      <c r="ABU86" s="21"/>
      <c r="ABV86" s="21"/>
      <c r="ABW86" s="21"/>
      <c r="ABX86" s="21"/>
      <c r="ABY86" s="21"/>
      <c r="ABZ86" s="21"/>
      <c r="ACA86" s="21"/>
      <c r="ACB86" s="21"/>
      <c r="ACC86" s="21"/>
      <c r="ACD86" s="21"/>
      <c r="ACE86" s="21"/>
      <c r="ACF86" s="21"/>
      <c r="ACG86" s="21"/>
      <c r="ACH86" s="21"/>
      <c r="ACI86" s="21"/>
      <c r="ACJ86" s="21"/>
      <c r="ACK86" s="21"/>
      <c r="ACL86" s="21"/>
      <c r="ACM86" s="21"/>
      <c r="ACN86" s="21"/>
      <c r="ACO86" s="21"/>
      <c r="ACP86" s="21"/>
      <c r="ACQ86" s="21"/>
      <c r="ACR86" s="21"/>
      <c r="ACS86" s="21"/>
      <c r="ACT86" s="21"/>
      <c r="ACU86" s="21"/>
      <c r="ACV86" s="21"/>
      <c r="ACW86" s="21"/>
      <c r="ACX86" s="21"/>
      <c r="ACY86" s="21"/>
      <c r="ACZ86" s="21"/>
      <c r="ADA86" s="21"/>
      <c r="ADB86" s="21"/>
      <c r="ADC86" s="21"/>
      <c r="ADD86" s="21"/>
      <c r="ADE86" s="21"/>
      <c r="ADF86" s="21"/>
      <c r="ADG86" s="21"/>
      <c r="ADH86" s="21"/>
      <c r="ADI86" s="21"/>
      <c r="ADJ86" s="21"/>
      <c r="ADK86" s="21"/>
      <c r="ADL86" s="21"/>
      <c r="ADM86" s="21"/>
      <c r="ADN86" s="21"/>
      <c r="ADO86" s="21"/>
      <c r="ADP86" s="21"/>
      <c r="ADQ86" s="21"/>
      <c r="ADR86" s="21"/>
      <c r="ADS86" s="21"/>
      <c r="ADT86" s="21"/>
      <c r="ADU86" s="21"/>
      <c r="ADV86" s="21"/>
      <c r="ADW86" s="21"/>
      <c r="ADX86" s="21"/>
      <c r="ADY86" s="21"/>
      <c r="ADZ86" s="21"/>
      <c r="AEA86" s="21"/>
      <c r="AEB86" s="21"/>
      <c r="AEC86" s="21"/>
      <c r="AED86" s="21"/>
      <c r="AEE86" s="21"/>
      <c r="AEF86" s="21"/>
      <c r="AEG86" s="21"/>
    </row>
    <row r="87" spans="1:813" s="93" customFormat="1" ht="60" x14ac:dyDescent="0.25">
      <c r="A87" s="179"/>
      <c r="B87" s="183"/>
      <c r="C87" s="80" t="s">
        <v>316</v>
      </c>
      <c r="D87" s="63" t="s">
        <v>315</v>
      </c>
      <c r="E87" s="36" t="s">
        <v>314</v>
      </c>
      <c r="F87" s="63"/>
      <c r="G87" s="32"/>
      <c r="H87" s="32"/>
      <c r="I87" s="32"/>
      <c r="J87" s="32"/>
      <c r="K87" s="32"/>
      <c r="L87" s="32">
        <v>150</v>
      </c>
      <c r="M87" s="32"/>
      <c r="N87" s="32"/>
      <c r="O87" s="32"/>
      <c r="P87" s="32"/>
      <c r="Q87" s="32"/>
      <c r="R87" s="32"/>
      <c r="S87" s="32"/>
      <c r="T87" s="32"/>
      <c r="U87" s="32"/>
      <c r="V87" s="32"/>
      <c r="W87" s="32"/>
      <c r="X87" s="32"/>
      <c r="Y87" s="32"/>
      <c r="Z87" s="32"/>
      <c r="AA87" s="32"/>
      <c r="AB87" s="32"/>
      <c r="AC87" s="32"/>
      <c r="AD87" s="32">
        <v>70</v>
      </c>
      <c r="AE87" s="32"/>
      <c r="AF87" s="32">
        <f t="shared" si="21"/>
        <v>220</v>
      </c>
      <c r="AG87" s="32"/>
      <c r="AH87" s="32"/>
      <c r="AI87" s="32">
        <v>200</v>
      </c>
      <c r="AJ87" s="31">
        <v>27791.893436650207</v>
      </c>
      <c r="AK87" s="31">
        <v>2263.8377321388134</v>
      </c>
      <c r="AL87" s="31">
        <v>30055.731168789021</v>
      </c>
      <c r="AM87" s="30" t="s">
        <v>18</v>
      </c>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c r="DT87" s="21"/>
      <c r="DU87" s="21"/>
      <c r="DV87" s="21"/>
      <c r="DW87" s="21"/>
      <c r="DX87" s="21"/>
      <c r="DY87" s="21"/>
      <c r="DZ87" s="21"/>
      <c r="EA87" s="21"/>
      <c r="EB87" s="21"/>
      <c r="EC87" s="21"/>
      <c r="ED87" s="21"/>
      <c r="EE87" s="21"/>
      <c r="EF87" s="21"/>
      <c r="EG87" s="21"/>
      <c r="EH87" s="21"/>
      <c r="EI87" s="21"/>
      <c r="EJ87" s="21"/>
      <c r="EK87" s="21"/>
      <c r="EL87" s="21"/>
      <c r="EM87" s="21"/>
      <c r="EN87" s="21"/>
      <c r="EO87" s="21"/>
      <c r="EP87" s="21"/>
      <c r="EQ87" s="21"/>
      <c r="ER87" s="21"/>
      <c r="ES87" s="21"/>
      <c r="ET87" s="21"/>
      <c r="EU87" s="21"/>
      <c r="EV87" s="21"/>
      <c r="EW87" s="21"/>
      <c r="EX87" s="21"/>
      <c r="EY87" s="21"/>
      <c r="EZ87" s="21"/>
      <c r="FA87" s="21"/>
      <c r="FB87" s="21"/>
      <c r="FC87" s="21"/>
      <c r="FD87" s="21"/>
      <c r="FE87" s="21"/>
      <c r="FF87" s="21"/>
      <c r="FG87" s="21"/>
      <c r="FH87" s="21"/>
      <c r="FI87" s="21"/>
      <c r="FJ87" s="21"/>
      <c r="FK87" s="21"/>
      <c r="FL87" s="21"/>
      <c r="FM87" s="21"/>
      <c r="FN87" s="21"/>
      <c r="FO87" s="21"/>
      <c r="FP87" s="21"/>
      <c r="FQ87" s="21"/>
      <c r="FR87" s="21"/>
      <c r="FS87" s="21"/>
      <c r="FT87" s="21"/>
      <c r="FU87" s="21"/>
      <c r="FV87" s="21"/>
      <c r="FW87" s="21"/>
      <c r="FX87" s="21"/>
      <c r="FY87" s="21"/>
      <c r="FZ87" s="21"/>
      <c r="GA87" s="21"/>
      <c r="GB87" s="21"/>
      <c r="GC87" s="21"/>
      <c r="GD87" s="21"/>
      <c r="GE87" s="21"/>
      <c r="GF87" s="21"/>
      <c r="GG87" s="21"/>
      <c r="GH87" s="21"/>
      <c r="GI87" s="21"/>
      <c r="GJ87" s="21"/>
      <c r="GK87" s="21"/>
      <c r="GL87" s="21"/>
      <c r="GM87" s="21"/>
      <c r="GN87" s="21"/>
      <c r="GO87" s="21"/>
      <c r="GP87" s="21"/>
      <c r="GQ87" s="21"/>
      <c r="GR87" s="21"/>
      <c r="GS87" s="21"/>
      <c r="GT87" s="21"/>
      <c r="GU87" s="21"/>
      <c r="GV87" s="21"/>
      <c r="GW87" s="21"/>
      <c r="GX87" s="21"/>
      <c r="GY87" s="21"/>
      <c r="GZ87" s="21"/>
      <c r="HA87" s="21"/>
      <c r="HB87" s="21"/>
      <c r="HC87" s="21"/>
      <c r="HD87" s="21"/>
      <c r="HE87" s="21"/>
      <c r="HF87" s="21"/>
      <c r="HG87" s="21"/>
      <c r="HH87" s="21"/>
      <c r="HI87" s="21"/>
      <c r="HJ87" s="21"/>
      <c r="HK87" s="21"/>
      <c r="HL87" s="21"/>
      <c r="HM87" s="21"/>
      <c r="HN87" s="21"/>
      <c r="HO87" s="21"/>
      <c r="HP87" s="21"/>
      <c r="HQ87" s="21"/>
      <c r="HR87" s="21"/>
      <c r="HS87" s="21"/>
      <c r="HT87" s="21"/>
      <c r="HU87" s="21"/>
      <c r="HV87" s="21"/>
      <c r="HW87" s="21"/>
      <c r="HX87" s="21"/>
      <c r="HY87" s="21"/>
      <c r="HZ87" s="21"/>
      <c r="IA87" s="21"/>
      <c r="IB87" s="21"/>
      <c r="IC87" s="21"/>
      <c r="ID87" s="21"/>
      <c r="IE87" s="21"/>
      <c r="IF87" s="21"/>
      <c r="IG87" s="21"/>
      <c r="IH87" s="21"/>
      <c r="II87" s="21"/>
      <c r="IJ87" s="21"/>
      <c r="IK87" s="21"/>
      <c r="IL87" s="21"/>
      <c r="IM87" s="21"/>
      <c r="IN87" s="21"/>
      <c r="IO87" s="21"/>
      <c r="IP87" s="21"/>
      <c r="IQ87" s="21"/>
      <c r="IR87" s="21"/>
      <c r="IS87" s="21"/>
      <c r="IT87" s="21"/>
      <c r="IU87" s="21"/>
      <c r="IV87" s="21"/>
      <c r="IW87" s="21"/>
      <c r="IX87" s="21"/>
      <c r="IY87" s="21"/>
      <c r="IZ87" s="21"/>
      <c r="JA87" s="21"/>
      <c r="JB87" s="21"/>
      <c r="JC87" s="21"/>
      <c r="JD87" s="21"/>
      <c r="JE87" s="21"/>
      <c r="JF87" s="21"/>
      <c r="JG87" s="21"/>
      <c r="JH87" s="21"/>
      <c r="JI87" s="21"/>
      <c r="JJ87" s="21"/>
      <c r="JK87" s="21"/>
      <c r="JL87" s="21"/>
      <c r="JM87" s="21"/>
      <c r="JN87" s="21"/>
      <c r="JO87" s="21"/>
      <c r="JP87" s="21"/>
      <c r="JQ87" s="21"/>
      <c r="JR87" s="21"/>
      <c r="JS87" s="21"/>
      <c r="JT87" s="21"/>
      <c r="JU87" s="21"/>
      <c r="JV87" s="21"/>
      <c r="JW87" s="21"/>
      <c r="JX87" s="21"/>
      <c r="JY87" s="21"/>
      <c r="JZ87" s="21"/>
      <c r="KA87" s="21"/>
      <c r="KB87" s="21"/>
      <c r="KC87" s="21"/>
      <c r="KD87" s="21"/>
      <c r="KE87" s="21"/>
      <c r="KF87" s="21"/>
      <c r="KG87" s="21"/>
      <c r="KH87" s="21"/>
      <c r="KI87" s="21"/>
      <c r="KJ87" s="21"/>
      <c r="KK87" s="21"/>
      <c r="KL87" s="21"/>
      <c r="KM87" s="21"/>
      <c r="KN87" s="21"/>
      <c r="KO87" s="21"/>
      <c r="KP87" s="21"/>
      <c r="KQ87" s="21"/>
      <c r="KR87" s="21"/>
      <c r="KS87" s="21"/>
      <c r="KT87" s="21"/>
      <c r="KU87" s="21"/>
      <c r="KV87" s="21"/>
      <c r="KW87" s="21"/>
      <c r="KX87" s="21"/>
      <c r="KY87" s="21"/>
      <c r="KZ87" s="21"/>
      <c r="LA87" s="21"/>
      <c r="LB87" s="21"/>
      <c r="LC87" s="21"/>
      <c r="LD87" s="21"/>
      <c r="LE87" s="21"/>
      <c r="LF87" s="21"/>
      <c r="LG87" s="21"/>
      <c r="LH87" s="21"/>
      <c r="LI87" s="21"/>
      <c r="LJ87" s="21"/>
      <c r="LK87" s="21"/>
      <c r="LL87" s="21"/>
      <c r="LM87" s="21"/>
      <c r="LN87" s="21"/>
      <c r="LO87" s="21"/>
      <c r="LP87" s="21"/>
      <c r="LQ87" s="21"/>
      <c r="LR87" s="21"/>
      <c r="LS87" s="21"/>
      <c r="LT87" s="21"/>
      <c r="LU87" s="21"/>
      <c r="LV87" s="21"/>
      <c r="LW87" s="21"/>
      <c r="LX87" s="21"/>
      <c r="LY87" s="21"/>
      <c r="LZ87" s="21"/>
      <c r="MA87" s="21"/>
      <c r="MB87" s="21"/>
      <c r="MC87" s="21"/>
      <c r="MD87" s="21"/>
      <c r="ME87" s="21"/>
      <c r="MF87" s="21"/>
      <c r="MG87" s="21"/>
      <c r="MH87" s="21"/>
      <c r="MI87" s="21"/>
      <c r="MJ87" s="21"/>
      <c r="MK87" s="21"/>
      <c r="ML87" s="21"/>
      <c r="MM87" s="21"/>
      <c r="MN87" s="21"/>
      <c r="MO87" s="21"/>
      <c r="MP87" s="21"/>
      <c r="MQ87" s="21"/>
      <c r="MR87" s="21"/>
      <c r="MS87" s="21"/>
      <c r="MT87" s="21"/>
      <c r="MU87" s="21"/>
      <c r="MV87" s="21"/>
      <c r="MW87" s="21"/>
      <c r="MX87" s="21"/>
      <c r="MY87" s="21"/>
      <c r="MZ87" s="21"/>
      <c r="NA87" s="21"/>
      <c r="NB87" s="21"/>
      <c r="NC87" s="21"/>
      <c r="ND87" s="21"/>
      <c r="NE87" s="21"/>
      <c r="NF87" s="21"/>
      <c r="NG87" s="21"/>
      <c r="NH87" s="21"/>
      <c r="NI87" s="21"/>
      <c r="NJ87" s="21"/>
      <c r="NK87" s="21"/>
      <c r="NL87" s="21"/>
      <c r="NM87" s="21"/>
      <c r="NN87" s="21"/>
      <c r="NO87" s="21"/>
      <c r="NP87" s="21"/>
      <c r="NQ87" s="21"/>
      <c r="NR87" s="21"/>
      <c r="NS87" s="21"/>
      <c r="NT87" s="21"/>
      <c r="NU87" s="21"/>
      <c r="NV87" s="21"/>
      <c r="NW87" s="21"/>
      <c r="NX87" s="21"/>
      <c r="NY87" s="21"/>
      <c r="NZ87" s="21"/>
      <c r="OA87" s="21"/>
      <c r="OB87" s="21"/>
      <c r="OC87" s="21"/>
      <c r="OD87" s="21"/>
      <c r="OE87" s="21"/>
      <c r="OF87" s="21"/>
      <c r="OG87" s="21"/>
      <c r="OH87" s="21"/>
      <c r="OI87" s="21"/>
      <c r="OJ87" s="21"/>
      <c r="OK87" s="21"/>
      <c r="OL87" s="21"/>
      <c r="OM87" s="21"/>
      <c r="ON87" s="21"/>
      <c r="OO87" s="21"/>
      <c r="OP87" s="21"/>
      <c r="OQ87" s="21"/>
      <c r="OR87" s="21"/>
      <c r="OS87" s="21"/>
      <c r="OT87" s="21"/>
      <c r="OU87" s="21"/>
      <c r="OV87" s="21"/>
      <c r="OW87" s="21"/>
      <c r="OX87" s="21"/>
      <c r="OY87" s="21"/>
      <c r="OZ87" s="21"/>
      <c r="PA87" s="21"/>
      <c r="PB87" s="21"/>
      <c r="PC87" s="21"/>
      <c r="PD87" s="21"/>
      <c r="PE87" s="21"/>
      <c r="PF87" s="21"/>
      <c r="PG87" s="21"/>
      <c r="PH87" s="21"/>
      <c r="PI87" s="21"/>
      <c r="PJ87" s="21"/>
      <c r="PK87" s="21"/>
      <c r="PL87" s="21"/>
      <c r="PM87" s="21"/>
      <c r="PN87" s="21"/>
      <c r="PO87" s="21"/>
      <c r="PP87" s="21"/>
      <c r="PQ87" s="21"/>
      <c r="PR87" s="21"/>
      <c r="PS87" s="21"/>
      <c r="PT87" s="21"/>
      <c r="PU87" s="21"/>
      <c r="PV87" s="21"/>
      <c r="PW87" s="21"/>
      <c r="PX87" s="21"/>
      <c r="PY87" s="21"/>
      <c r="PZ87" s="21"/>
      <c r="QA87" s="21"/>
      <c r="QB87" s="21"/>
      <c r="QC87" s="21"/>
      <c r="QD87" s="21"/>
      <c r="QE87" s="21"/>
      <c r="QF87" s="21"/>
      <c r="QG87" s="21"/>
      <c r="QH87" s="21"/>
      <c r="QI87" s="21"/>
      <c r="QJ87" s="21"/>
      <c r="QK87" s="21"/>
      <c r="QL87" s="21"/>
      <c r="QM87" s="21"/>
      <c r="QN87" s="21"/>
      <c r="QO87" s="21"/>
      <c r="QP87" s="21"/>
      <c r="QQ87" s="21"/>
      <c r="QR87" s="21"/>
      <c r="QS87" s="21"/>
      <c r="QT87" s="21"/>
      <c r="QU87" s="21"/>
      <c r="QV87" s="21"/>
      <c r="QW87" s="21"/>
      <c r="QX87" s="21"/>
      <c r="QY87" s="21"/>
      <c r="QZ87" s="21"/>
      <c r="RA87" s="21"/>
      <c r="RB87" s="21"/>
      <c r="RC87" s="21"/>
      <c r="RD87" s="21"/>
      <c r="RE87" s="21"/>
      <c r="RF87" s="21"/>
      <c r="RG87" s="21"/>
      <c r="RH87" s="21"/>
      <c r="RI87" s="21"/>
      <c r="RJ87" s="21"/>
      <c r="RK87" s="21"/>
      <c r="RL87" s="21"/>
      <c r="RM87" s="21"/>
      <c r="RN87" s="21"/>
      <c r="RO87" s="21"/>
      <c r="RP87" s="21"/>
      <c r="RQ87" s="21"/>
      <c r="RR87" s="21"/>
      <c r="RS87" s="21"/>
      <c r="RT87" s="21"/>
      <c r="RU87" s="21"/>
      <c r="RV87" s="21"/>
      <c r="RW87" s="21"/>
      <c r="RX87" s="21"/>
      <c r="RY87" s="21"/>
      <c r="RZ87" s="21"/>
      <c r="SA87" s="21"/>
      <c r="SB87" s="21"/>
      <c r="SC87" s="21"/>
      <c r="SD87" s="21"/>
      <c r="SE87" s="21"/>
      <c r="SF87" s="21"/>
      <c r="SG87" s="21"/>
      <c r="SH87" s="21"/>
      <c r="SI87" s="21"/>
      <c r="SJ87" s="21"/>
      <c r="SK87" s="21"/>
      <c r="SL87" s="21"/>
      <c r="SM87" s="21"/>
      <c r="SN87" s="21"/>
      <c r="SO87" s="21"/>
      <c r="SP87" s="21"/>
      <c r="SQ87" s="21"/>
      <c r="SR87" s="21"/>
      <c r="SS87" s="21"/>
      <c r="ST87" s="21"/>
      <c r="SU87" s="21"/>
      <c r="SV87" s="21"/>
      <c r="SW87" s="21"/>
      <c r="SX87" s="21"/>
      <c r="SY87" s="21"/>
      <c r="SZ87" s="21"/>
      <c r="TA87" s="21"/>
      <c r="TB87" s="21"/>
      <c r="TC87" s="21"/>
      <c r="TD87" s="21"/>
      <c r="TE87" s="21"/>
      <c r="TF87" s="21"/>
      <c r="TG87" s="21"/>
      <c r="TH87" s="21"/>
      <c r="TI87" s="21"/>
      <c r="TJ87" s="21"/>
      <c r="TK87" s="21"/>
      <c r="TL87" s="21"/>
      <c r="TM87" s="21"/>
      <c r="TN87" s="21"/>
      <c r="TO87" s="21"/>
      <c r="TP87" s="21"/>
      <c r="TQ87" s="21"/>
      <c r="TR87" s="21"/>
      <c r="TS87" s="21"/>
      <c r="TT87" s="21"/>
      <c r="TU87" s="21"/>
      <c r="TV87" s="21"/>
      <c r="TW87" s="21"/>
      <c r="TX87" s="21"/>
      <c r="TY87" s="21"/>
      <c r="TZ87" s="21"/>
      <c r="UA87" s="21"/>
      <c r="UB87" s="21"/>
      <c r="UC87" s="21"/>
      <c r="UD87" s="21"/>
      <c r="UE87" s="21"/>
      <c r="UF87" s="21"/>
      <c r="UG87" s="21"/>
      <c r="UH87" s="21"/>
      <c r="UI87" s="21"/>
      <c r="UJ87" s="21"/>
      <c r="UK87" s="21"/>
      <c r="UL87" s="21"/>
      <c r="UM87" s="21"/>
      <c r="UN87" s="21"/>
      <c r="UO87" s="21"/>
      <c r="UP87" s="21"/>
      <c r="UQ87" s="21"/>
      <c r="UR87" s="21"/>
      <c r="US87" s="21"/>
      <c r="UT87" s="21"/>
      <c r="UU87" s="21"/>
      <c r="UV87" s="21"/>
      <c r="UW87" s="21"/>
      <c r="UX87" s="21"/>
      <c r="UY87" s="21"/>
      <c r="UZ87" s="21"/>
      <c r="VA87" s="21"/>
      <c r="VB87" s="21"/>
      <c r="VC87" s="21"/>
      <c r="VD87" s="21"/>
      <c r="VE87" s="21"/>
      <c r="VF87" s="21"/>
      <c r="VG87" s="21"/>
      <c r="VH87" s="21"/>
      <c r="VI87" s="21"/>
      <c r="VJ87" s="21"/>
      <c r="VK87" s="21"/>
      <c r="VL87" s="21"/>
      <c r="VM87" s="21"/>
      <c r="VN87" s="21"/>
      <c r="VO87" s="21"/>
      <c r="VP87" s="21"/>
      <c r="VQ87" s="21"/>
      <c r="VR87" s="21"/>
      <c r="VS87" s="21"/>
      <c r="VT87" s="21"/>
      <c r="VU87" s="21"/>
      <c r="VV87" s="21"/>
      <c r="VW87" s="21"/>
      <c r="VX87" s="21"/>
      <c r="VY87" s="21"/>
      <c r="VZ87" s="21"/>
      <c r="WA87" s="21"/>
      <c r="WB87" s="21"/>
      <c r="WC87" s="21"/>
      <c r="WD87" s="21"/>
      <c r="WE87" s="21"/>
      <c r="WF87" s="21"/>
      <c r="WG87" s="21"/>
      <c r="WH87" s="21"/>
      <c r="WI87" s="21"/>
      <c r="WJ87" s="21"/>
      <c r="WK87" s="21"/>
      <c r="WL87" s="21"/>
      <c r="WM87" s="21"/>
      <c r="WN87" s="21"/>
      <c r="WO87" s="21"/>
      <c r="WP87" s="21"/>
      <c r="WQ87" s="21"/>
      <c r="WR87" s="21"/>
      <c r="WS87" s="21"/>
      <c r="WT87" s="21"/>
      <c r="WU87" s="21"/>
      <c r="WV87" s="21"/>
      <c r="WW87" s="21"/>
      <c r="WX87" s="21"/>
      <c r="WY87" s="21"/>
      <c r="WZ87" s="21"/>
      <c r="XA87" s="21"/>
      <c r="XB87" s="21"/>
      <c r="XC87" s="21"/>
      <c r="XD87" s="21"/>
      <c r="XE87" s="21"/>
      <c r="XF87" s="21"/>
      <c r="XG87" s="21"/>
      <c r="XH87" s="21"/>
      <c r="XI87" s="21"/>
      <c r="XJ87" s="21"/>
      <c r="XK87" s="21"/>
      <c r="XL87" s="21"/>
      <c r="XM87" s="21"/>
      <c r="XN87" s="21"/>
      <c r="XO87" s="21"/>
      <c r="XP87" s="21"/>
      <c r="XQ87" s="21"/>
      <c r="XR87" s="21"/>
      <c r="XS87" s="21"/>
      <c r="XT87" s="21"/>
      <c r="XU87" s="21"/>
      <c r="XV87" s="21"/>
      <c r="XW87" s="21"/>
      <c r="XX87" s="21"/>
      <c r="XY87" s="21"/>
      <c r="XZ87" s="21"/>
      <c r="YA87" s="21"/>
      <c r="YB87" s="21"/>
      <c r="YC87" s="21"/>
      <c r="YD87" s="21"/>
      <c r="YE87" s="21"/>
      <c r="YF87" s="21"/>
      <c r="YG87" s="21"/>
      <c r="YH87" s="21"/>
      <c r="YI87" s="21"/>
      <c r="YJ87" s="21"/>
      <c r="YK87" s="21"/>
      <c r="YL87" s="21"/>
      <c r="YM87" s="21"/>
      <c r="YN87" s="21"/>
      <c r="YO87" s="21"/>
      <c r="YP87" s="21"/>
      <c r="YQ87" s="21"/>
      <c r="YR87" s="21"/>
      <c r="YS87" s="21"/>
      <c r="YT87" s="21"/>
      <c r="YU87" s="21"/>
      <c r="YV87" s="21"/>
      <c r="YW87" s="21"/>
      <c r="YX87" s="21"/>
      <c r="YY87" s="21"/>
      <c r="YZ87" s="21"/>
      <c r="ZA87" s="21"/>
      <c r="ZB87" s="21"/>
      <c r="ZC87" s="21"/>
      <c r="ZD87" s="21"/>
      <c r="ZE87" s="21"/>
      <c r="ZF87" s="21"/>
      <c r="ZG87" s="21"/>
      <c r="ZH87" s="21"/>
      <c r="ZI87" s="21"/>
      <c r="ZJ87" s="21"/>
      <c r="ZK87" s="21"/>
      <c r="ZL87" s="21"/>
      <c r="ZM87" s="21"/>
      <c r="ZN87" s="21"/>
      <c r="ZO87" s="21"/>
      <c r="ZP87" s="21"/>
      <c r="ZQ87" s="21"/>
      <c r="ZR87" s="21"/>
      <c r="ZS87" s="21"/>
      <c r="ZT87" s="21"/>
      <c r="ZU87" s="21"/>
      <c r="ZV87" s="21"/>
      <c r="ZW87" s="21"/>
      <c r="ZX87" s="21"/>
      <c r="ZY87" s="21"/>
      <c r="ZZ87" s="21"/>
      <c r="AAA87" s="21"/>
      <c r="AAB87" s="21"/>
      <c r="AAC87" s="21"/>
      <c r="AAD87" s="21"/>
      <c r="AAE87" s="21"/>
      <c r="AAF87" s="21"/>
      <c r="AAG87" s="21"/>
      <c r="AAH87" s="21"/>
      <c r="AAI87" s="21"/>
      <c r="AAJ87" s="21"/>
      <c r="AAK87" s="21"/>
      <c r="AAL87" s="21"/>
      <c r="AAM87" s="21"/>
      <c r="AAN87" s="21"/>
      <c r="AAO87" s="21"/>
      <c r="AAP87" s="21"/>
      <c r="AAQ87" s="21"/>
      <c r="AAR87" s="21"/>
      <c r="AAS87" s="21"/>
      <c r="AAT87" s="21"/>
      <c r="AAU87" s="21"/>
      <c r="AAV87" s="21"/>
      <c r="AAW87" s="21"/>
      <c r="AAX87" s="21"/>
      <c r="AAY87" s="21"/>
      <c r="AAZ87" s="21"/>
      <c r="ABA87" s="21"/>
      <c r="ABB87" s="21"/>
      <c r="ABC87" s="21"/>
      <c r="ABD87" s="21"/>
      <c r="ABE87" s="21"/>
      <c r="ABF87" s="21"/>
      <c r="ABG87" s="21"/>
      <c r="ABH87" s="21"/>
      <c r="ABI87" s="21"/>
      <c r="ABJ87" s="21"/>
      <c r="ABK87" s="21"/>
      <c r="ABL87" s="21"/>
      <c r="ABM87" s="21"/>
      <c r="ABN87" s="21"/>
      <c r="ABO87" s="21"/>
      <c r="ABP87" s="21"/>
      <c r="ABQ87" s="21"/>
      <c r="ABR87" s="21"/>
      <c r="ABS87" s="21"/>
      <c r="ABT87" s="21"/>
      <c r="ABU87" s="21"/>
      <c r="ABV87" s="21"/>
      <c r="ABW87" s="21"/>
      <c r="ABX87" s="21"/>
      <c r="ABY87" s="21"/>
      <c r="ABZ87" s="21"/>
      <c r="ACA87" s="21"/>
      <c r="ACB87" s="21"/>
      <c r="ACC87" s="21"/>
      <c r="ACD87" s="21"/>
      <c r="ACE87" s="21"/>
      <c r="ACF87" s="21"/>
      <c r="ACG87" s="21"/>
      <c r="ACH87" s="21"/>
      <c r="ACI87" s="21"/>
      <c r="ACJ87" s="21"/>
      <c r="ACK87" s="21"/>
      <c r="ACL87" s="21"/>
      <c r="ACM87" s="21"/>
      <c r="ACN87" s="21"/>
      <c r="ACO87" s="21"/>
      <c r="ACP87" s="21"/>
      <c r="ACQ87" s="21"/>
      <c r="ACR87" s="21"/>
      <c r="ACS87" s="21"/>
      <c r="ACT87" s="21"/>
      <c r="ACU87" s="21"/>
      <c r="ACV87" s="21"/>
      <c r="ACW87" s="21"/>
      <c r="ACX87" s="21"/>
      <c r="ACY87" s="21"/>
      <c r="ACZ87" s="21"/>
      <c r="ADA87" s="21"/>
      <c r="ADB87" s="21"/>
      <c r="ADC87" s="21"/>
      <c r="ADD87" s="21"/>
      <c r="ADE87" s="21"/>
      <c r="ADF87" s="21"/>
      <c r="ADG87" s="21"/>
      <c r="ADH87" s="21"/>
      <c r="ADI87" s="21"/>
      <c r="ADJ87" s="21"/>
      <c r="ADK87" s="21"/>
      <c r="ADL87" s="21"/>
      <c r="ADM87" s="21"/>
      <c r="ADN87" s="21"/>
      <c r="ADO87" s="21"/>
      <c r="ADP87" s="21"/>
      <c r="ADQ87" s="21"/>
      <c r="ADR87" s="21"/>
      <c r="ADS87" s="21"/>
      <c r="ADT87" s="21"/>
      <c r="ADU87" s="21"/>
      <c r="ADV87" s="21"/>
      <c r="ADW87" s="21"/>
      <c r="ADX87" s="21"/>
      <c r="ADY87" s="21"/>
      <c r="ADZ87" s="21"/>
      <c r="AEA87" s="21"/>
      <c r="AEB87" s="21"/>
      <c r="AEC87" s="21"/>
      <c r="AED87" s="21"/>
      <c r="AEE87" s="21"/>
      <c r="AEF87" s="21"/>
      <c r="AEG87" s="21"/>
    </row>
    <row r="88" spans="1:813" s="93" customFormat="1" ht="75" x14ac:dyDescent="0.25">
      <c r="A88" s="179"/>
      <c r="B88" s="183" t="s">
        <v>313</v>
      </c>
      <c r="C88" s="80" t="s">
        <v>312</v>
      </c>
      <c r="D88" s="63" t="s">
        <v>311</v>
      </c>
      <c r="E88" s="36" t="s">
        <v>310</v>
      </c>
      <c r="F88" s="63"/>
      <c r="G88" s="32"/>
      <c r="H88" s="32">
        <v>25</v>
      </c>
      <c r="I88" s="32"/>
      <c r="J88" s="32">
        <v>300</v>
      </c>
      <c r="K88" s="32"/>
      <c r="L88" s="32">
        <v>150</v>
      </c>
      <c r="M88" s="32"/>
      <c r="N88" s="32">
        <v>200</v>
      </c>
      <c r="O88" s="32"/>
      <c r="P88" s="32">
        <v>10</v>
      </c>
      <c r="Q88" s="32"/>
      <c r="R88" s="32"/>
      <c r="S88" s="32"/>
      <c r="T88" s="32">
        <v>200</v>
      </c>
      <c r="U88" s="32"/>
      <c r="V88" s="32">
        <v>100</v>
      </c>
      <c r="W88" s="32"/>
      <c r="X88" s="32">
        <v>75</v>
      </c>
      <c r="Y88" s="32"/>
      <c r="Z88" s="32">
        <v>10</v>
      </c>
      <c r="AA88" s="32"/>
      <c r="AB88" s="32"/>
      <c r="AC88" s="32"/>
      <c r="AD88" s="32"/>
      <c r="AE88" s="32"/>
      <c r="AF88" s="32">
        <f t="shared" si="21"/>
        <v>1070</v>
      </c>
      <c r="AG88" s="32"/>
      <c r="AH88" s="32"/>
      <c r="AI88" s="32">
        <v>60</v>
      </c>
      <c r="AJ88" s="31">
        <v>74954.048091568024</v>
      </c>
      <c r="AK88" s="31">
        <v>6105.5142800191725</v>
      </c>
      <c r="AL88" s="31">
        <v>81059.562371587192</v>
      </c>
      <c r="AM88" s="30" t="s">
        <v>18</v>
      </c>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c r="FL88" s="21"/>
      <c r="FM88" s="21"/>
      <c r="FN88" s="21"/>
      <c r="FO88" s="21"/>
      <c r="FP88" s="21"/>
      <c r="FQ88" s="21"/>
      <c r="FR88" s="21"/>
      <c r="FS88" s="21"/>
      <c r="FT88" s="21"/>
      <c r="FU88" s="21"/>
      <c r="FV88" s="21"/>
      <c r="FW88" s="21"/>
      <c r="FX88" s="21"/>
      <c r="FY88" s="21"/>
      <c r="FZ88" s="21"/>
      <c r="GA88" s="21"/>
      <c r="GB88" s="21"/>
      <c r="GC88" s="21"/>
      <c r="GD88" s="21"/>
      <c r="GE88" s="21"/>
      <c r="GF88" s="21"/>
      <c r="GG88" s="21"/>
      <c r="GH88" s="21"/>
      <c r="GI88" s="21"/>
      <c r="GJ88" s="21"/>
      <c r="GK88" s="21"/>
      <c r="GL88" s="21"/>
      <c r="GM88" s="21"/>
      <c r="GN88" s="21"/>
      <c r="GO88" s="21"/>
      <c r="GP88" s="21"/>
      <c r="GQ88" s="21"/>
      <c r="GR88" s="21"/>
      <c r="GS88" s="21"/>
      <c r="GT88" s="21"/>
      <c r="GU88" s="21"/>
      <c r="GV88" s="21"/>
      <c r="GW88" s="21"/>
      <c r="GX88" s="21"/>
      <c r="GY88" s="21"/>
      <c r="GZ88" s="21"/>
      <c r="HA88" s="21"/>
      <c r="HB88" s="21"/>
      <c r="HC88" s="21"/>
      <c r="HD88" s="21"/>
      <c r="HE88" s="21"/>
      <c r="HF88" s="21"/>
      <c r="HG88" s="21"/>
      <c r="HH88" s="21"/>
      <c r="HI88" s="21"/>
      <c r="HJ88" s="21"/>
      <c r="HK88" s="21"/>
      <c r="HL88" s="21"/>
      <c r="HM88" s="21"/>
      <c r="HN88" s="21"/>
      <c r="HO88" s="21"/>
      <c r="HP88" s="21"/>
      <c r="HQ88" s="21"/>
      <c r="HR88" s="21"/>
      <c r="HS88" s="21"/>
      <c r="HT88" s="21"/>
      <c r="HU88" s="21"/>
      <c r="HV88" s="21"/>
      <c r="HW88" s="21"/>
      <c r="HX88" s="21"/>
      <c r="HY88" s="21"/>
      <c r="HZ88" s="21"/>
      <c r="IA88" s="21"/>
      <c r="IB88" s="21"/>
      <c r="IC88" s="21"/>
      <c r="ID88" s="21"/>
      <c r="IE88" s="21"/>
      <c r="IF88" s="21"/>
      <c r="IG88" s="21"/>
      <c r="IH88" s="21"/>
      <c r="II88" s="21"/>
      <c r="IJ88" s="21"/>
      <c r="IK88" s="21"/>
      <c r="IL88" s="21"/>
      <c r="IM88" s="21"/>
      <c r="IN88" s="21"/>
      <c r="IO88" s="21"/>
      <c r="IP88" s="21"/>
      <c r="IQ88" s="21"/>
      <c r="IR88" s="21"/>
      <c r="IS88" s="21"/>
      <c r="IT88" s="21"/>
      <c r="IU88" s="21"/>
      <c r="IV88" s="21"/>
      <c r="IW88" s="21"/>
      <c r="IX88" s="21"/>
      <c r="IY88" s="21"/>
      <c r="IZ88" s="21"/>
      <c r="JA88" s="21"/>
      <c r="JB88" s="21"/>
      <c r="JC88" s="21"/>
      <c r="JD88" s="21"/>
      <c r="JE88" s="21"/>
      <c r="JF88" s="21"/>
      <c r="JG88" s="21"/>
      <c r="JH88" s="21"/>
      <c r="JI88" s="21"/>
      <c r="JJ88" s="21"/>
      <c r="JK88" s="21"/>
      <c r="JL88" s="21"/>
      <c r="JM88" s="21"/>
      <c r="JN88" s="21"/>
      <c r="JO88" s="21"/>
      <c r="JP88" s="21"/>
      <c r="JQ88" s="21"/>
      <c r="JR88" s="21"/>
      <c r="JS88" s="21"/>
      <c r="JT88" s="21"/>
      <c r="JU88" s="21"/>
      <c r="JV88" s="21"/>
      <c r="JW88" s="21"/>
      <c r="JX88" s="21"/>
      <c r="JY88" s="21"/>
      <c r="JZ88" s="21"/>
      <c r="KA88" s="21"/>
      <c r="KB88" s="21"/>
      <c r="KC88" s="21"/>
      <c r="KD88" s="21"/>
      <c r="KE88" s="21"/>
      <c r="KF88" s="21"/>
      <c r="KG88" s="21"/>
      <c r="KH88" s="21"/>
      <c r="KI88" s="21"/>
      <c r="KJ88" s="21"/>
      <c r="KK88" s="21"/>
      <c r="KL88" s="21"/>
      <c r="KM88" s="21"/>
      <c r="KN88" s="21"/>
      <c r="KO88" s="21"/>
      <c r="KP88" s="21"/>
      <c r="KQ88" s="21"/>
      <c r="KR88" s="21"/>
      <c r="KS88" s="21"/>
      <c r="KT88" s="21"/>
      <c r="KU88" s="21"/>
      <c r="KV88" s="21"/>
      <c r="KW88" s="21"/>
      <c r="KX88" s="21"/>
      <c r="KY88" s="21"/>
      <c r="KZ88" s="21"/>
      <c r="LA88" s="21"/>
      <c r="LB88" s="21"/>
      <c r="LC88" s="21"/>
      <c r="LD88" s="21"/>
      <c r="LE88" s="21"/>
      <c r="LF88" s="21"/>
      <c r="LG88" s="21"/>
      <c r="LH88" s="21"/>
      <c r="LI88" s="21"/>
      <c r="LJ88" s="21"/>
      <c r="LK88" s="21"/>
      <c r="LL88" s="21"/>
      <c r="LM88" s="21"/>
      <c r="LN88" s="21"/>
      <c r="LO88" s="21"/>
      <c r="LP88" s="21"/>
      <c r="LQ88" s="21"/>
      <c r="LR88" s="21"/>
      <c r="LS88" s="21"/>
      <c r="LT88" s="21"/>
      <c r="LU88" s="21"/>
      <c r="LV88" s="21"/>
      <c r="LW88" s="21"/>
      <c r="LX88" s="21"/>
      <c r="LY88" s="21"/>
      <c r="LZ88" s="21"/>
      <c r="MA88" s="21"/>
      <c r="MB88" s="21"/>
      <c r="MC88" s="21"/>
      <c r="MD88" s="21"/>
      <c r="ME88" s="21"/>
      <c r="MF88" s="21"/>
      <c r="MG88" s="21"/>
      <c r="MH88" s="21"/>
      <c r="MI88" s="21"/>
      <c r="MJ88" s="21"/>
      <c r="MK88" s="21"/>
      <c r="ML88" s="21"/>
      <c r="MM88" s="21"/>
      <c r="MN88" s="21"/>
      <c r="MO88" s="21"/>
      <c r="MP88" s="21"/>
      <c r="MQ88" s="21"/>
      <c r="MR88" s="21"/>
      <c r="MS88" s="21"/>
      <c r="MT88" s="21"/>
      <c r="MU88" s="21"/>
      <c r="MV88" s="21"/>
      <c r="MW88" s="21"/>
      <c r="MX88" s="21"/>
      <c r="MY88" s="21"/>
      <c r="MZ88" s="21"/>
      <c r="NA88" s="21"/>
      <c r="NB88" s="21"/>
      <c r="NC88" s="21"/>
      <c r="ND88" s="21"/>
      <c r="NE88" s="21"/>
      <c r="NF88" s="21"/>
      <c r="NG88" s="21"/>
      <c r="NH88" s="21"/>
      <c r="NI88" s="21"/>
      <c r="NJ88" s="21"/>
      <c r="NK88" s="21"/>
      <c r="NL88" s="21"/>
      <c r="NM88" s="21"/>
      <c r="NN88" s="21"/>
      <c r="NO88" s="21"/>
      <c r="NP88" s="21"/>
      <c r="NQ88" s="21"/>
      <c r="NR88" s="21"/>
      <c r="NS88" s="21"/>
      <c r="NT88" s="21"/>
      <c r="NU88" s="21"/>
      <c r="NV88" s="21"/>
      <c r="NW88" s="21"/>
      <c r="NX88" s="21"/>
      <c r="NY88" s="21"/>
      <c r="NZ88" s="21"/>
      <c r="OA88" s="21"/>
      <c r="OB88" s="21"/>
      <c r="OC88" s="21"/>
      <c r="OD88" s="21"/>
      <c r="OE88" s="21"/>
      <c r="OF88" s="21"/>
      <c r="OG88" s="21"/>
      <c r="OH88" s="21"/>
      <c r="OI88" s="21"/>
      <c r="OJ88" s="21"/>
      <c r="OK88" s="21"/>
      <c r="OL88" s="21"/>
      <c r="OM88" s="21"/>
      <c r="ON88" s="21"/>
      <c r="OO88" s="21"/>
      <c r="OP88" s="21"/>
      <c r="OQ88" s="21"/>
      <c r="OR88" s="21"/>
      <c r="OS88" s="21"/>
      <c r="OT88" s="21"/>
      <c r="OU88" s="21"/>
      <c r="OV88" s="21"/>
      <c r="OW88" s="21"/>
      <c r="OX88" s="21"/>
      <c r="OY88" s="21"/>
      <c r="OZ88" s="21"/>
      <c r="PA88" s="21"/>
      <c r="PB88" s="21"/>
      <c r="PC88" s="21"/>
      <c r="PD88" s="21"/>
      <c r="PE88" s="21"/>
      <c r="PF88" s="21"/>
      <c r="PG88" s="21"/>
      <c r="PH88" s="21"/>
      <c r="PI88" s="21"/>
      <c r="PJ88" s="21"/>
      <c r="PK88" s="21"/>
      <c r="PL88" s="21"/>
      <c r="PM88" s="21"/>
      <c r="PN88" s="21"/>
      <c r="PO88" s="21"/>
      <c r="PP88" s="21"/>
      <c r="PQ88" s="21"/>
      <c r="PR88" s="21"/>
      <c r="PS88" s="21"/>
      <c r="PT88" s="21"/>
      <c r="PU88" s="21"/>
      <c r="PV88" s="21"/>
      <c r="PW88" s="21"/>
      <c r="PX88" s="21"/>
      <c r="PY88" s="21"/>
      <c r="PZ88" s="21"/>
      <c r="QA88" s="21"/>
      <c r="QB88" s="21"/>
      <c r="QC88" s="21"/>
      <c r="QD88" s="21"/>
      <c r="QE88" s="21"/>
      <c r="QF88" s="21"/>
      <c r="QG88" s="21"/>
      <c r="QH88" s="21"/>
      <c r="QI88" s="21"/>
      <c r="QJ88" s="21"/>
      <c r="QK88" s="21"/>
      <c r="QL88" s="21"/>
      <c r="QM88" s="21"/>
      <c r="QN88" s="21"/>
      <c r="QO88" s="21"/>
      <c r="QP88" s="21"/>
      <c r="QQ88" s="21"/>
      <c r="QR88" s="21"/>
      <c r="QS88" s="21"/>
      <c r="QT88" s="21"/>
      <c r="QU88" s="21"/>
      <c r="QV88" s="21"/>
      <c r="QW88" s="21"/>
      <c r="QX88" s="21"/>
      <c r="QY88" s="21"/>
      <c r="QZ88" s="21"/>
      <c r="RA88" s="21"/>
      <c r="RB88" s="21"/>
      <c r="RC88" s="21"/>
      <c r="RD88" s="21"/>
      <c r="RE88" s="21"/>
      <c r="RF88" s="21"/>
      <c r="RG88" s="21"/>
      <c r="RH88" s="21"/>
      <c r="RI88" s="21"/>
      <c r="RJ88" s="21"/>
      <c r="RK88" s="21"/>
      <c r="RL88" s="21"/>
      <c r="RM88" s="21"/>
      <c r="RN88" s="21"/>
      <c r="RO88" s="21"/>
      <c r="RP88" s="21"/>
      <c r="RQ88" s="21"/>
      <c r="RR88" s="21"/>
      <c r="RS88" s="21"/>
      <c r="RT88" s="21"/>
      <c r="RU88" s="21"/>
      <c r="RV88" s="21"/>
      <c r="RW88" s="21"/>
      <c r="RX88" s="21"/>
      <c r="RY88" s="21"/>
      <c r="RZ88" s="21"/>
      <c r="SA88" s="21"/>
      <c r="SB88" s="21"/>
      <c r="SC88" s="21"/>
      <c r="SD88" s="21"/>
      <c r="SE88" s="21"/>
      <c r="SF88" s="21"/>
      <c r="SG88" s="21"/>
      <c r="SH88" s="21"/>
      <c r="SI88" s="21"/>
      <c r="SJ88" s="21"/>
      <c r="SK88" s="21"/>
      <c r="SL88" s="21"/>
      <c r="SM88" s="21"/>
      <c r="SN88" s="21"/>
      <c r="SO88" s="21"/>
      <c r="SP88" s="21"/>
      <c r="SQ88" s="21"/>
      <c r="SR88" s="21"/>
      <c r="SS88" s="21"/>
      <c r="ST88" s="21"/>
      <c r="SU88" s="21"/>
      <c r="SV88" s="21"/>
      <c r="SW88" s="21"/>
      <c r="SX88" s="21"/>
      <c r="SY88" s="21"/>
      <c r="SZ88" s="21"/>
      <c r="TA88" s="21"/>
      <c r="TB88" s="21"/>
      <c r="TC88" s="21"/>
      <c r="TD88" s="21"/>
      <c r="TE88" s="21"/>
      <c r="TF88" s="21"/>
      <c r="TG88" s="21"/>
      <c r="TH88" s="21"/>
      <c r="TI88" s="21"/>
      <c r="TJ88" s="21"/>
      <c r="TK88" s="21"/>
      <c r="TL88" s="21"/>
      <c r="TM88" s="21"/>
      <c r="TN88" s="21"/>
      <c r="TO88" s="21"/>
      <c r="TP88" s="21"/>
      <c r="TQ88" s="21"/>
      <c r="TR88" s="21"/>
      <c r="TS88" s="21"/>
      <c r="TT88" s="21"/>
      <c r="TU88" s="21"/>
      <c r="TV88" s="21"/>
      <c r="TW88" s="21"/>
      <c r="TX88" s="21"/>
      <c r="TY88" s="21"/>
      <c r="TZ88" s="21"/>
      <c r="UA88" s="21"/>
      <c r="UB88" s="21"/>
      <c r="UC88" s="21"/>
      <c r="UD88" s="21"/>
      <c r="UE88" s="21"/>
      <c r="UF88" s="21"/>
      <c r="UG88" s="21"/>
      <c r="UH88" s="21"/>
      <c r="UI88" s="21"/>
      <c r="UJ88" s="21"/>
      <c r="UK88" s="21"/>
      <c r="UL88" s="21"/>
      <c r="UM88" s="21"/>
      <c r="UN88" s="21"/>
      <c r="UO88" s="21"/>
      <c r="UP88" s="21"/>
      <c r="UQ88" s="21"/>
      <c r="UR88" s="21"/>
      <c r="US88" s="21"/>
      <c r="UT88" s="21"/>
      <c r="UU88" s="21"/>
      <c r="UV88" s="21"/>
      <c r="UW88" s="21"/>
      <c r="UX88" s="21"/>
      <c r="UY88" s="21"/>
      <c r="UZ88" s="21"/>
      <c r="VA88" s="21"/>
      <c r="VB88" s="21"/>
      <c r="VC88" s="21"/>
      <c r="VD88" s="21"/>
      <c r="VE88" s="21"/>
      <c r="VF88" s="21"/>
      <c r="VG88" s="21"/>
      <c r="VH88" s="21"/>
      <c r="VI88" s="21"/>
      <c r="VJ88" s="21"/>
      <c r="VK88" s="21"/>
      <c r="VL88" s="21"/>
      <c r="VM88" s="21"/>
      <c r="VN88" s="21"/>
      <c r="VO88" s="21"/>
      <c r="VP88" s="21"/>
      <c r="VQ88" s="21"/>
      <c r="VR88" s="21"/>
      <c r="VS88" s="21"/>
      <c r="VT88" s="21"/>
      <c r="VU88" s="21"/>
      <c r="VV88" s="21"/>
      <c r="VW88" s="21"/>
      <c r="VX88" s="21"/>
      <c r="VY88" s="21"/>
      <c r="VZ88" s="21"/>
      <c r="WA88" s="21"/>
      <c r="WB88" s="21"/>
      <c r="WC88" s="21"/>
      <c r="WD88" s="21"/>
      <c r="WE88" s="21"/>
      <c r="WF88" s="21"/>
      <c r="WG88" s="21"/>
      <c r="WH88" s="21"/>
      <c r="WI88" s="21"/>
      <c r="WJ88" s="21"/>
      <c r="WK88" s="21"/>
      <c r="WL88" s="21"/>
      <c r="WM88" s="21"/>
      <c r="WN88" s="21"/>
      <c r="WO88" s="21"/>
      <c r="WP88" s="21"/>
      <c r="WQ88" s="21"/>
      <c r="WR88" s="21"/>
      <c r="WS88" s="21"/>
      <c r="WT88" s="21"/>
      <c r="WU88" s="21"/>
      <c r="WV88" s="21"/>
      <c r="WW88" s="21"/>
      <c r="WX88" s="21"/>
      <c r="WY88" s="21"/>
      <c r="WZ88" s="21"/>
      <c r="XA88" s="21"/>
      <c r="XB88" s="21"/>
      <c r="XC88" s="21"/>
      <c r="XD88" s="21"/>
      <c r="XE88" s="21"/>
      <c r="XF88" s="21"/>
      <c r="XG88" s="21"/>
      <c r="XH88" s="21"/>
      <c r="XI88" s="21"/>
      <c r="XJ88" s="21"/>
      <c r="XK88" s="21"/>
      <c r="XL88" s="21"/>
      <c r="XM88" s="21"/>
      <c r="XN88" s="21"/>
      <c r="XO88" s="21"/>
      <c r="XP88" s="21"/>
      <c r="XQ88" s="21"/>
      <c r="XR88" s="21"/>
      <c r="XS88" s="21"/>
      <c r="XT88" s="21"/>
      <c r="XU88" s="21"/>
      <c r="XV88" s="21"/>
      <c r="XW88" s="21"/>
      <c r="XX88" s="21"/>
      <c r="XY88" s="21"/>
      <c r="XZ88" s="21"/>
      <c r="YA88" s="21"/>
      <c r="YB88" s="21"/>
      <c r="YC88" s="21"/>
      <c r="YD88" s="21"/>
      <c r="YE88" s="21"/>
      <c r="YF88" s="21"/>
      <c r="YG88" s="21"/>
      <c r="YH88" s="21"/>
      <c r="YI88" s="21"/>
      <c r="YJ88" s="21"/>
      <c r="YK88" s="21"/>
      <c r="YL88" s="21"/>
      <c r="YM88" s="21"/>
      <c r="YN88" s="21"/>
      <c r="YO88" s="21"/>
      <c r="YP88" s="21"/>
      <c r="YQ88" s="21"/>
      <c r="YR88" s="21"/>
      <c r="YS88" s="21"/>
      <c r="YT88" s="21"/>
      <c r="YU88" s="21"/>
      <c r="YV88" s="21"/>
      <c r="YW88" s="21"/>
      <c r="YX88" s="21"/>
      <c r="YY88" s="21"/>
      <c r="YZ88" s="21"/>
      <c r="ZA88" s="21"/>
      <c r="ZB88" s="21"/>
      <c r="ZC88" s="21"/>
      <c r="ZD88" s="21"/>
      <c r="ZE88" s="21"/>
      <c r="ZF88" s="21"/>
      <c r="ZG88" s="21"/>
      <c r="ZH88" s="21"/>
      <c r="ZI88" s="21"/>
      <c r="ZJ88" s="21"/>
      <c r="ZK88" s="21"/>
      <c r="ZL88" s="21"/>
      <c r="ZM88" s="21"/>
      <c r="ZN88" s="21"/>
      <c r="ZO88" s="21"/>
      <c r="ZP88" s="21"/>
      <c r="ZQ88" s="21"/>
      <c r="ZR88" s="21"/>
      <c r="ZS88" s="21"/>
      <c r="ZT88" s="21"/>
      <c r="ZU88" s="21"/>
      <c r="ZV88" s="21"/>
      <c r="ZW88" s="21"/>
      <c r="ZX88" s="21"/>
      <c r="ZY88" s="21"/>
      <c r="ZZ88" s="21"/>
      <c r="AAA88" s="21"/>
      <c r="AAB88" s="21"/>
      <c r="AAC88" s="21"/>
      <c r="AAD88" s="21"/>
      <c r="AAE88" s="21"/>
      <c r="AAF88" s="21"/>
      <c r="AAG88" s="21"/>
      <c r="AAH88" s="21"/>
      <c r="AAI88" s="21"/>
      <c r="AAJ88" s="21"/>
      <c r="AAK88" s="21"/>
      <c r="AAL88" s="21"/>
      <c r="AAM88" s="21"/>
      <c r="AAN88" s="21"/>
      <c r="AAO88" s="21"/>
      <c r="AAP88" s="21"/>
      <c r="AAQ88" s="21"/>
      <c r="AAR88" s="21"/>
      <c r="AAS88" s="21"/>
      <c r="AAT88" s="21"/>
      <c r="AAU88" s="21"/>
      <c r="AAV88" s="21"/>
      <c r="AAW88" s="21"/>
      <c r="AAX88" s="21"/>
      <c r="AAY88" s="21"/>
      <c r="AAZ88" s="21"/>
      <c r="ABA88" s="21"/>
      <c r="ABB88" s="21"/>
      <c r="ABC88" s="21"/>
      <c r="ABD88" s="21"/>
      <c r="ABE88" s="21"/>
      <c r="ABF88" s="21"/>
      <c r="ABG88" s="21"/>
      <c r="ABH88" s="21"/>
      <c r="ABI88" s="21"/>
      <c r="ABJ88" s="21"/>
      <c r="ABK88" s="21"/>
      <c r="ABL88" s="21"/>
      <c r="ABM88" s="21"/>
      <c r="ABN88" s="21"/>
      <c r="ABO88" s="21"/>
      <c r="ABP88" s="21"/>
      <c r="ABQ88" s="21"/>
      <c r="ABR88" s="21"/>
      <c r="ABS88" s="21"/>
      <c r="ABT88" s="21"/>
      <c r="ABU88" s="21"/>
      <c r="ABV88" s="21"/>
      <c r="ABW88" s="21"/>
      <c r="ABX88" s="21"/>
      <c r="ABY88" s="21"/>
      <c r="ABZ88" s="21"/>
      <c r="ACA88" s="21"/>
      <c r="ACB88" s="21"/>
      <c r="ACC88" s="21"/>
      <c r="ACD88" s="21"/>
      <c r="ACE88" s="21"/>
      <c r="ACF88" s="21"/>
      <c r="ACG88" s="21"/>
      <c r="ACH88" s="21"/>
      <c r="ACI88" s="21"/>
      <c r="ACJ88" s="21"/>
      <c r="ACK88" s="21"/>
      <c r="ACL88" s="21"/>
      <c r="ACM88" s="21"/>
      <c r="ACN88" s="21"/>
      <c r="ACO88" s="21"/>
      <c r="ACP88" s="21"/>
      <c r="ACQ88" s="21"/>
      <c r="ACR88" s="21"/>
      <c r="ACS88" s="21"/>
      <c r="ACT88" s="21"/>
      <c r="ACU88" s="21"/>
      <c r="ACV88" s="21"/>
      <c r="ACW88" s="21"/>
      <c r="ACX88" s="21"/>
      <c r="ACY88" s="21"/>
      <c r="ACZ88" s="21"/>
      <c r="ADA88" s="21"/>
      <c r="ADB88" s="21"/>
      <c r="ADC88" s="21"/>
      <c r="ADD88" s="21"/>
      <c r="ADE88" s="21"/>
      <c r="ADF88" s="21"/>
      <c r="ADG88" s="21"/>
      <c r="ADH88" s="21"/>
      <c r="ADI88" s="21"/>
      <c r="ADJ88" s="21"/>
      <c r="ADK88" s="21"/>
      <c r="ADL88" s="21"/>
      <c r="ADM88" s="21"/>
      <c r="ADN88" s="21"/>
      <c r="ADO88" s="21"/>
      <c r="ADP88" s="21"/>
      <c r="ADQ88" s="21"/>
      <c r="ADR88" s="21"/>
      <c r="ADS88" s="21"/>
      <c r="ADT88" s="21"/>
      <c r="ADU88" s="21"/>
      <c r="ADV88" s="21"/>
      <c r="ADW88" s="21"/>
      <c r="ADX88" s="21"/>
      <c r="ADY88" s="21"/>
      <c r="ADZ88" s="21"/>
      <c r="AEA88" s="21"/>
      <c r="AEB88" s="21"/>
      <c r="AEC88" s="21"/>
      <c r="AED88" s="21"/>
      <c r="AEE88" s="21"/>
      <c r="AEF88" s="21"/>
      <c r="AEG88" s="21"/>
    </row>
    <row r="89" spans="1:813" s="93" customFormat="1" ht="60.75" thickBot="1" x14ac:dyDescent="0.3">
      <c r="A89" s="182"/>
      <c r="B89" s="184"/>
      <c r="C89" s="89" t="s">
        <v>309</v>
      </c>
      <c r="D89" s="72" t="s">
        <v>308</v>
      </c>
      <c r="E89" s="73" t="s">
        <v>307</v>
      </c>
      <c r="F89" s="72"/>
      <c r="G89" s="58"/>
      <c r="H89" s="58">
        <v>15</v>
      </c>
      <c r="I89" s="58"/>
      <c r="J89" s="58">
        <v>300</v>
      </c>
      <c r="K89" s="58"/>
      <c r="L89" s="58">
        <v>100</v>
      </c>
      <c r="M89" s="58"/>
      <c r="N89" s="58"/>
      <c r="O89" s="58"/>
      <c r="P89" s="58">
        <v>25</v>
      </c>
      <c r="Q89" s="58"/>
      <c r="R89" s="58"/>
      <c r="S89" s="58"/>
      <c r="T89" s="58">
        <v>300</v>
      </c>
      <c r="U89" s="58"/>
      <c r="V89" s="58"/>
      <c r="W89" s="58"/>
      <c r="X89" s="58"/>
      <c r="Y89" s="58"/>
      <c r="Z89" s="58"/>
      <c r="AA89" s="58"/>
      <c r="AB89" s="58"/>
      <c r="AC89" s="58"/>
      <c r="AD89" s="58"/>
      <c r="AE89" s="58"/>
      <c r="AF89" s="58">
        <f t="shared" si="21"/>
        <v>740</v>
      </c>
      <c r="AG89" s="58"/>
      <c r="AH89" s="58"/>
      <c r="AI89" s="58">
        <v>160</v>
      </c>
      <c r="AJ89" s="57">
        <v>40015.463143425499</v>
      </c>
      <c r="AK89" s="57">
        <v>3259.5301770132078</v>
      </c>
      <c r="AL89" s="57">
        <v>43274.993320438705</v>
      </c>
      <c r="AM89" s="56" t="s">
        <v>18</v>
      </c>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c r="FL89" s="21"/>
      <c r="FM89" s="21"/>
      <c r="FN89" s="21"/>
      <c r="FO89" s="21"/>
      <c r="FP89" s="21"/>
      <c r="FQ89" s="21"/>
      <c r="FR89" s="21"/>
      <c r="FS89" s="21"/>
      <c r="FT89" s="21"/>
      <c r="FU89" s="21"/>
      <c r="FV89" s="21"/>
      <c r="FW89" s="21"/>
      <c r="FX89" s="21"/>
      <c r="FY89" s="21"/>
      <c r="FZ89" s="21"/>
      <c r="GA89" s="21"/>
      <c r="GB89" s="21"/>
      <c r="GC89" s="21"/>
      <c r="GD89" s="21"/>
      <c r="GE89" s="21"/>
      <c r="GF89" s="21"/>
      <c r="GG89" s="21"/>
      <c r="GH89" s="21"/>
      <c r="GI89" s="21"/>
      <c r="GJ89" s="21"/>
      <c r="GK89" s="21"/>
      <c r="GL89" s="21"/>
      <c r="GM89" s="21"/>
      <c r="GN89" s="21"/>
      <c r="GO89" s="21"/>
      <c r="GP89" s="21"/>
      <c r="GQ89" s="21"/>
      <c r="GR89" s="21"/>
      <c r="GS89" s="21"/>
      <c r="GT89" s="21"/>
      <c r="GU89" s="21"/>
      <c r="GV89" s="21"/>
      <c r="GW89" s="21"/>
      <c r="GX89" s="21"/>
      <c r="GY89" s="21"/>
      <c r="GZ89" s="21"/>
      <c r="HA89" s="21"/>
      <c r="HB89" s="21"/>
      <c r="HC89" s="21"/>
      <c r="HD89" s="21"/>
      <c r="HE89" s="21"/>
      <c r="HF89" s="21"/>
      <c r="HG89" s="21"/>
      <c r="HH89" s="21"/>
      <c r="HI89" s="21"/>
      <c r="HJ89" s="21"/>
      <c r="HK89" s="21"/>
      <c r="HL89" s="21"/>
      <c r="HM89" s="21"/>
      <c r="HN89" s="21"/>
      <c r="HO89" s="21"/>
      <c r="HP89" s="21"/>
      <c r="HQ89" s="21"/>
      <c r="HR89" s="21"/>
      <c r="HS89" s="21"/>
      <c r="HT89" s="21"/>
      <c r="HU89" s="21"/>
      <c r="HV89" s="21"/>
      <c r="HW89" s="21"/>
      <c r="HX89" s="21"/>
      <c r="HY89" s="21"/>
      <c r="HZ89" s="21"/>
      <c r="IA89" s="21"/>
      <c r="IB89" s="21"/>
      <c r="IC89" s="21"/>
      <c r="ID89" s="21"/>
      <c r="IE89" s="21"/>
      <c r="IF89" s="21"/>
      <c r="IG89" s="21"/>
      <c r="IH89" s="21"/>
      <c r="II89" s="21"/>
      <c r="IJ89" s="21"/>
      <c r="IK89" s="21"/>
      <c r="IL89" s="21"/>
      <c r="IM89" s="21"/>
      <c r="IN89" s="21"/>
      <c r="IO89" s="21"/>
      <c r="IP89" s="21"/>
      <c r="IQ89" s="21"/>
      <c r="IR89" s="21"/>
      <c r="IS89" s="21"/>
      <c r="IT89" s="21"/>
      <c r="IU89" s="21"/>
      <c r="IV89" s="21"/>
      <c r="IW89" s="21"/>
      <c r="IX89" s="21"/>
      <c r="IY89" s="21"/>
      <c r="IZ89" s="21"/>
      <c r="JA89" s="21"/>
      <c r="JB89" s="21"/>
      <c r="JC89" s="21"/>
      <c r="JD89" s="21"/>
      <c r="JE89" s="21"/>
      <c r="JF89" s="21"/>
      <c r="JG89" s="21"/>
      <c r="JH89" s="21"/>
      <c r="JI89" s="21"/>
      <c r="JJ89" s="21"/>
      <c r="JK89" s="21"/>
      <c r="JL89" s="21"/>
      <c r="JM89" s="21"/>
      <c r="JN89" s="21"/>
      <c r="JO89" s="21"/>
      <c r="JP89" s="21"/>
      <c r="JQ89" s="21"/>
      <c r="JR89" s="21"/>
      <c r="JS89" s="21"/>
      <c r="JT89" s="21"/>
      <c r="JU89" s="21"/>
      <c r="JV89" s="21"/>
      <c r="JW89" s="21"/>
      <c r="JX89" s="21"/>
      <c r="JY89" s="21"/>
      <c r="JZ89" s="21"/>
      <c r="KA89" s="21"/>
      <c r="KB89" s="21"/>
      <c r="KC89" s="21"/>
      <c r="KD89" s="21"/>
      <c r="KE89" s="21"/>
      <c r="KF89" s="21"/>
      <c r="KG89" s="21"/>
      <c r="KH89" s="21"/>
      <c r="KI89" s="21"/>
      <c r="KJ89" s="21"/>
      <c r="KK89" s="21"/>
      <c r="KL89" s="21"/>
      <c r="KM89" s="21"/>
      <c r="KN89" s="21"/>
      <c r="KO89" s="21"/>
      <c r="KP89" s="21"/>
      <c r="KQ89" s="21"/>
      <c r="KR89" s="21"/>
      <c r="KS89" s="21"/>
      <c r="KT89" s="21"/>
      <c r="KU89" s="21"/>
      <c r="KV89" s="21"/>
      <c r="KW89" s="21"/>
      <c r="KX89" s="21"/>
      <c r="KY89" s="21"/>
      <c r="KZ89" s="21"/>
      <c r="LA89" s="21"/>
      <c r="LB89" s="21"/>
      <c r="LC89" s="21"/>
      <c r="LD89" s="21"/>
      <c r="LE89" s="21"/>
      <c r="LF89" s="21"/>
      <c r="LG89" s="21"/>
      <c r="LH89" s="21"/>
      <c r="LI89" s="21"/>
      <c r="LJ89" s="21"/>
      <c r="LK89" s="21"/>
      <c r="LL89" s="21"/>
      <c r="LM89" s="21"/>
      <c r="LN89" s="21"/>
      <c r="LO89" s="21"/>
      <c r="LP89" s="21"/>
      <c r="LQ89" s="21"/>
      <c r="LR89" s="21"/>
      <c r="LS89" s="21"/>
      <c r="LT89" s="21"/>
      <c r="LU89" s="21"/>
      <c r="LV89" s="21"/>
      <c r="LW89" s="21"/>
      <c r="LX89" s="21"/>
      <c r="LY89" s="21"/>
      <c r="LZ89" s="21"/>
      <c r="MA89" s="21"/>
      <c r="MB89" s="21"/>
      <c r="MC89" s="21"/>
      <c r="MD89" s="21"/>
      <c r="ME89" s="21"/>
      <c r="MF89" s="21"/>
      <c r="MG89" s="21"/>
      <c r="MH89" s="21"/>
      <c r="MI89" s="21"/>
      <c r="MJ89" s="21"/>
      <c r="MK89" s="21"/>
      <c r="ML89" s="21"/>
      <c r="MM89" s="21"/>
      <c r="MN89" s="21"/>
      <c r="MO89" s="21"/>
      <c r="MP89" s="21"/>
      <c r="MQ89" s="21"/>
      <c r="MR89" s="21"/>
      <c r="MS89" s="21"/>
      <c r="MT89" s="21"/>
      <c r="MU89" s="21"/>
      <c r="MV89" s="21"/>
      <c r="MW89" s="21"/>
      <c r="MX89" s="21"/>
      <c r="MY89" s="21"/>
      <c r="MZ89" s="21"/>
      <c r="NA89" s="21"/>
      <c r="NB89" s="21"/>
      <c r="NC89" s="21"/>
      <c r="ND89" s="21"/>
      <c r="NE89" s="21"/>
      <c r="NF89" s="21"/>
      <c r="NG89" s="21"/>
      <c r="NH89" s="21"/>
      <c r="NI89" s="21"/>
      <c r="NJ89" s="21"/>
      <c r="NK89" s="21"/>
      <c r="NL89" s="21"/>
      <c r="NM89" s="21"/>
      <c r="NN89" s="21"/>
      <c r="NO89" s="21"/>
      <c r="NP89" s="21"/>
      <c r="NQ89" s="21"/>
      <c r="NR89" s="21"/>
      <c r="NS89" s="21"/>
      <c r="NT89" s="21"/>
      <c r="NU89" s="21"/>
      <c r="NV89" s="21"/>
      <c r="NW89" s="21"/>
      <c r="NX89" s="21"/>
      <c r="NY89" s="21"/>
      <c r="NZ89" s="21"/>
      <c r="OA89" s="21"/>
      <c r="OB89" s="21"/>
      <c r="OC89" s="21"/>
      <c r="OD89" s="21"/>
      <c r="OE89" s="21"/>
      <c r="OF89" s="21"/>
      <c r="OG89" s="21"/>
      <c r="OH89" s="21"/>
      <c r="OI89" s="21"/>
      <c r="OJ89" s="21"/>
      <c r="OK89" s="21"/>
      <c r="OL89" s="21"/>
      <c r="OM89" s="21"/>
      <c r="ON89" s="21"/>
      <c r="OO89" s="21"/>
      <c r="OP89" s="21"/>
      <c r="OQ89" s="21"/>
      <c r="OR89" s="21"/>
      <c r="OS89" s="21"/>
      <c r="OT89" s="21"/>
      <c r="OU89" s="21"/>
      <c r="OV89" s="21"/>
      <c r="OW89" s="21"/>
      <c r="OX89" s="21"/>
      <c r="OY89" s="21"/>
      <c r="OZ89" s="21"/>
      <c r="PA89" s="21"/>
      <c r="PB89" s="21"/>
      <c r="PC89" s="21"/>
      <c r="PD89" s="21"/>
      <c r="PE89" s="21"/>
      <c r="PF89" s="21"/>
      <c r="PG89" s="21"/>
      <c r="PH89" s="21"/>
      <c r="PI89" s="21"/>
      <c r="PJ89" s="21"/>
      <c r="PK89" s="21"/>
      <c r="PL89" s="21"/>
      <c r="PM89" s="21"/>
      <c r="PN89" s="21"/>
      <c r="PO89" s="21"/>
      <c r="PP89" s="21"/>
      <c r="PQ89" s="21"/>
      <c r="PR89" s="21"/>
      <c r="PS89" s="21"/>
      <c r="PT89" s="21"/>
      <c r="PU89" s="21"/>
      <c r="PV89" s="21"/>
      <c r="PW89" s="21"/>
      <c r="PX89" s="21"/>
      <c r="PY89" s="21"/>
      <c r="PZ89" s="21"/>
      <c r="QA89" s="21"/>
      <c r="QB89" s="21"/>
      <c r="QC89" s="21"/>
      <c r="QD89" s="21"/>
      <c r="QE89" s="21"/>
      <c r="QF89" s="21"/>
      <c r="QG89" s="21"/>
      <c r="QH89" s="21"/>
      <c r="QI89" s="21"/>
      <c r="QJ89" s="21"/>
      <c r="QK89" s="21"/>
      <c r="QL89" s="21"/>
      <c r="QM89" s="21"/>
      <c r="QN89" s="21"/>
      <c r="QO89" s="21"/>
      <c r="QP89" s="21"/>
      <c r="QQ89" s="21"/>
      <c r="QR89" s="21"/>
      <c r="QS89" s="21"/>
      <c r="QT89" s="21"/>
      <c r="QU89" s="21"/>
      <c r="QV89" s="21"/>
      <c r="QW89" s="21"/>
      <c r="QX89" s="21"/>
      <c r="QY89" s="21"/>
      <c r="QZ89" s="21"/>
      <c r="RA89" s="21"/>
      <c r="RB89" s="21"/>
      <c r="RC89" s="21"/>
      <c r="RD89" s="21"/>
      <c r="RE89" s="21"/>
      <c r="RF89" s="21"/>
      <c r="RG89" s="21"/>
      <c r="RH89" s="21"/>
      <c r="RI89" s="21"/>
      <c r="RJ89" s="21"/>
      <c r="RK89" s="21"/>
      <c r="RL89" s="21"/>
      <c r="RM89" s="21"/>
      <c r="RN89" s="21"/>
      <c r="RO89" s="21"/>
      <c r="RP89" s="21"/>
      <c r="RQ89" s="21"/>
      <c r="RR89" s="21"/>
      <c r="RS89" s="21"/>
      <c r="RT89" s="21"/>
      <c r="RU89" s="21"/>
      <c r="RV89" s="21"/>
      <c r="RW89" s="21"/>
      <c r="RX89" s="21"/>
      <c r="RY89" s="21"/>
      <c r="RZ89" s="21"/>
      <c r="SA89" s="21"/>
      <c r="SB89" s="21"/>
      <c r="SC89" s="21"/>
      <c r="SD89" s="21"/>
      <c r="SE89" s="21"/>
      <c r="SF89" s="21"/>
      <c r="SG89" s="21"/>
      <c r="SH89" s="21"/>
      <c r="SI89" s="21"/>
      <c r="SJ89" s="21"/>
      <c r="SK89" s="21"/>
      <c r="SL89" s="21"/>
      <c r="SM89" s="21"/>
      <c r="SN89" s="21"/>
      <c r="SO89" s="21"/>
      <c r="SP89" s="21"/>
      <c r="SQ89" s="21"/>
      <c r="SR89" s="21"/>
      <c r="SS89" s="21"/>
      <c r="ST89" s="21"/>
      <c r="SU89" s="21"/>
      <c r="SV89" s="21"/>
      <c r="SW89" s="21"/>
      <c r="SX89" s="21"/>
      <c r="SY89" s="21"/>
      <c r="SZ89" s="21"/>
      <c r="TA89" s="21"/>
      <c r="TB89" s="21"/>
      <c r="TC89" s="21"/>
      <c r="TD89" s="21"/>
      <c r="TE89" s="21"/>
      <c r="TF89" s="21"/>
      <c r="TG89" s="21"/>
      <c r="TH89" s="21"/>
      <c r="TI89" s="21"/>
      <c r="TJ89" s="21"/>
      <c r="TK89" s="21"/>
      <c r="TL89" s="21"/>
      <c r="TM89" s="21"/>
      <c r="TN89" s="21"/>
      <c r="TO89" s="21"/>
      <c r="TP89" s="21"/>
      <c r="TQ89" s="21"/>
      <c r="TR89" s="21"/>
      <c r="TS89" s="21"/>
      <c r="TT89" s="21"/>
      <c r="TU89" s="21"/>
      <c r="TV89" s="21"/>
      <c r="TW89" s="21"/>
      <c r="TX89" s="21"/>
      <c r="TY89" s="21"/>
      <c r="TZ89" s="21"/>
      <c r="UA89" s="21"/>
      <c r="UB89" s="21"/>
      <c r="UC89" s="21"/>
      <c r="UD89" s="21"/>
      <c r="UE89" s="21"/>
      <c r="UF89" s="21"/>
      <c r="UG89" s="21"/>
      <c r="UH89" s="21"/>
      <c r="UI89" s="21"/>
      <c r="UJ89" s="21"/>
      <c r="UK89" s="21"/>
      <c r="UL89" s="21"/>
      <c r="UM89" s="21"/>
      <c r="UN89" s="21"/>
      <c r="UO89" s="21"/>
      <c r="UP89" s="21"/>
      <c r="UQ89" s="21"/>
      <c r="UR89" s="21"/>
      <c r="US89" s="21"/>
      <c r="UT89" s="21"/>
      <c r="UU89" s="21"/>
      <c r="UV89" s="21"/>
      <c r="UW89" s="21"/>
      <c r="UX89" s="21"/>
      <c r="UY89" s="21"/>
      <c r="UZ89" s="21"/>
      <c r="VA89" s="21"/>
      <c r="VB89" s="21"/>
      <c r="VC89" s="21"/>
      <c r="VD89" s="21"/>
      <c r="VE89" s="21"/>
      <c r="VF89" s="21"/>
      <c r="VG89" s="21"/>
      <c r="VH89" s="21"/>
      <c r="VI89" s="21"/>
      <c r="VJ89" s="21"/>
      <c r="VK89" s="21"/>
      <c r="VL89" s="21"/>
      <c r="VM89" s="21"/>
      <c r="VN89" s="21"/>
      <c r="VO89" s="21"/>
      <c r="VP89" s="21"/>
      <c r="VQ89" s="21"/>
      <c r="VR89" s="21"/>
      <c r="VS89" s="21"/>
      <c r="VT89" s="21"/>
      <c r="VU89" s="21"/>
      <c r="VV89" s="21"/>
      <c r="VW89" s="21"/>
      <c r="VX89" s="21"/>
      <c r="VY89" s="21"/>
      <c r="VZ89" s="21"/>
      <c r="WA89" s="21"/>
      <c r="WB89" s="21"/>
      <c r="WC89" s="21"/>
      <c r="WD89" s="21"/>
      <c r="WE89" s="21"/>
      <c r="WF89" s="21"/>
      <c r="WG89" s="21"/>
      <c r="WH89" s="21"/>
      <c r="WI89" s="21"/>
      <c r="WJ89" s="21"/>
      <c r="WK89" s="21"/>
      <c r="WL89" s="21"/>
      <c r="WM89" s="21"/>
      <c r="WN89" s="21"/>
      <c r="WO89" s="21"/>
      <c r="WP89" s="21"/>
      <c r="WQ89" s="21"/>
      <c r="WR89" s="21"/>
      <c r="WS89" s="21"/>
      <c r="WT89" s="21"/>
      <c r="WU89" s="21"/>
      <c r="WV89" s="21"/>
      <c r="WW89" s="21"/>
      <c r="WX89" s="21"/>
      <c r="WY89" s="21"/>
      <c r="WZ89" s="21"/>
      <c r="XA89" s="21"/>
      <c r="XB89" s="21"/>
      <c r="XC89" s="21"/>
      <c r="XD89" s="21"/>
      <c r="XE89" s="21"/>
      <c r="XF89" s="21"/>
      <c r="XG89" s="21"/>
      <c r="XH89" s="21"/>
      <c r="XI89" s="21"/>
      <c r="XJ89" s="21"/>
      <c r="XK89" s="21"/>
      <c r="XL89" s="21"/>
      <c r="XM89" s="21"/>
      <c r="XN89" s="21"/>
      <c r="XO89" s="21"/>
      <c r="XP89" s="21"/>
      <c r="XQ89" s="21"/>
      <c r="XR89" s="21"/>
      <c r="XS89" s="21"/>
      <c r="XT89" s="21"/>
      <c r="XU89" s="21"/>
      <c r="XV89" s="21"/>
      <c r="XW89" s="21"/>
      <c r="XX89" s="21"/>
      <c r="XY89" s="21"/>
      <c r="XZ89" s="21"/>
      <c r="YA89" s="21"/>
      <c r="YB89" s="21"/>
      <c r="YC89" s="21"/>
      <c r="YD89" s="21"/>
      <c r="YE89" s="21"/>
      <c r="YF89" s="21"/>
      <c r="YG89" s="21"/>
      <c r="YH89" s="21"/>
      <c r="YI89" s="21"/>
      <c r="YJ89" s="21"/>
      <c r="YK89" s="21"/>
      <c r="YL89" s="21"/>
      <c r="YM89" s="21"/>
      <c r="YN89" s="21"/>
      <c r="YO89" s="21"/>
      <c r="YP89" s="21"/>
      <c r="YQ89" s="21"/>
      <c r="YR89" s="21"/>
      <c r="YS89" s="21"/>
      <c r="YT89" s="21"/>
      <c r="YU89" s="21"/>
      <c r="YV89" s="21"/>
      <c r="YW89" s="21"/>
      <c r="YX89" s="21"/>
      <c r="YY89" s="21"/>
      <c r="YZ89" s="21"/>
      <c r="ZA89" s="21"/>
      <c r="ZB89" s="21"/>
      <c r="ZC89" s="21"/>
      <c r="ZD89" s="21"/>
      <c r="ZE89" s="21"/>
      <c r="ZF89" s="21"/>
      <c r="ZG89" s="21"/>
      <c r="ZH89" s="21"/>
      <c r="ZI89" s="21"/>
      <c r="ZJ89" s="21"/>
      <c r="ZK89" s="21"/>
      <c r="ZL89" s="21"/>
      <c r="ZM89" s="21"/>
      <c r="ZN89" s="21"/>
      <c r="ZO89" s="21"/>
      <c r="ZP89" s="21"/>
      <c r="ZQ89" s="21"/>
      <c r="ZR89" s="21"/>
      <c r="ZS89" s="21"/>
      <c r="ZT89" s="21"/>
      <c r="ZU89" s="21"/>
      <c r="ZV89" s="21"/>
      <c r="ZW89" s="21"/>
      <c r="ZX89" s="21"/>
      <c r="ZY89" s="21"/>
      <c r="ZZ89" s="21"/>
      <c r="AAA89" s="21"/>
      <c r="AAB89" s="21"/>
      <c r="AAC89" s="21"/>
      <c r="AAD89" s="21"/>
      <c r="AAE89" s="21"/>
      <c r="AAF89" s="21"/>
      <c r="AAG89" s="21"/>
      <c r="AAH89" s="21"/>
      <c r="AAI89" s="21"/>
      <c r="AAJ89" s="21"/>
      <c r="AAK89" s="21"/>
      <c r="AAL89" s="21"/>
      <c r="AAM89" s="21"/>
      <c r="AAN89" s="21"/>
      <c r="AAO89" s="21"/>
      <c r="AAP89" s="21"/>
      <c r="AAQ89" s="21"/>
      <c r="AAR89" s="21"/>
      <c r="AAS89" s="21"/>
      <c r="AAT89" s="21"/>
      <c r="AAU89" s="21"/>
      <c r="AAV89" s="21"/>
      <c r="AAW89" s="21"/>
      <c r="AAX89" s="21"/>
      <c r="AAY89" s="21"/>
      <c r="AAZ89" s="21"/>
      <c r="ABA89" s="21"/>
      <c r="ABB89" s="21"/>
      <c r="ABC89" s="21"/>
      <c r="ABD89" s="21"/>
      <c r="ABE89" s="21"/>
      <c r="ABF89" s="21"/>
      <c r="ABG89" s="21"/>
      <c r="ABH89" s="21"/>
      <c r="ABI89" s="21"/>
      <c r="ABJ89" s="21"/>
      <c r="ABK89" s="21"/>
      <c r="ABL89" s="21"/>
      <c r="ABM89" s="21"/>
      <c r="ABN89" s="21"/>
      <c r="ABO89" s="21"/>
      <c r="ABP89" s="21"/>
      <c r="ABQ89" s="21"/>
      <c r="ABR89" s="21"/>
      <c r="ABS89" s="21"/>
      <c r="ABT89" s="21"/>
      <c r="ABU89" s="21"/>
      <c r="ABV89" s="21"/>
      <c r="ABW89" s="21"/>
      <c r="ABX89" s="21"/>
      <c r="ABY89" s="21"/>
      <c r="ABZ89" s="21"/>
      <c r="ACA89" s="21"/>
      <c r="ACB89" s="21"/>
      <c r="ACC89" s="21"/>
      <c r="ACD89" s="21"/>
      <c r="ACE89" s="21"/>
      <c r="ACF89" s="21"/>
      <c r="ACG89" s="21"/>
      <c r="ACH89" s="21"/>
      <c r="ACI89" s="21"/>
      <c r="ACJ89" s="21"/>
      <c r="ACK89" s="21"/>
      <c r="ACL89" s="21"/>
      <c r="ACM89" s="21"/>
      <c r="ACN89" s="21"/>
      <c r="ACO89" s="21"/>
      <c r="ACP89" s="21"/>
      <c r="ACQ89" s="21"/>
      <c r="ACR89" s="21"/>
      <c r="ACS89" s="21"/>
      <c r="ACT89" s="21"/>
      <c r="ACU89" s="21"/>
      <c r="ACV89" s="21"/>
      <c r="ACW89" s="21"/>
      <c r="ACX89" s="21"/>
      <c r="ACY89" s="21"/>
      <c r="ACZ89" s="21"/>
      <c r="ADA89" s="21"/>
      <c r="ADB89" s="21"/>
      <c r="ADC89" s="21"/>
      <c r="ADD89" s="21"/>
      <c r="ADE89" s="21"/>
      <c r="ADF89" s="21"/>
      <c r="ADG89" s="21"/>
      <c r="ADH89" s="21"/>
      <c r="ADI89" s="21"/>
      <c r="ADJ89" s="21"/>
      <c r="ADK89" s="21"/>
      <c r="ADL89" s="21"/>
      <c r="ADM89" s="21"/>
      <c r="ADN89" s="21"/>
      <c r="ADO89" s="21"/>
      <c r="ADP89" s="21"/>
      <c r="ADQ89" s="21"/>
      <c r="ADR89" s="21"/>
      <c r="ADS89" s="21"/>
      <c r="ADT89" s="21"/>
      <c r="ADU89" s="21"/>
      <c r="ADV89" s="21"/>
      <c r="ADW89" s="21"/>
      <c r="ADX89" s="21"/>
      <c r="ADY89" s="21"/>
      <c r="ADZ89" s="21"/>
      <c r="AEA89" s="21"/>
      <c r="AEB89" s="21"/>
      <c r="AEC89" s="21"/>
      <c r="AED89" s="21"/>
      <c r="AEE89" s="21"/>
      <c r="AEF89" s="21"/>
      <c r="AEG89" s="21"/>
    </row>
    <row r="90" spans="1:813" s="65" customFormat="1" ht="50.25" customHeight="1" thickBot="1" x14ac:dyDescent="0.4">
      <c r="A90" s="209" t="s">
        <v>306</v>
      </c>
      <c r="B90" s="210"/>
      <c r="C90" s="210"/>
      <c r="D90" s="210"/>
      <c r="E90" s="109"/>
      <c r="F90" s="108"/>
      <c r="G90" s="107"/>
      <c r="H90" s="107">
        <f>SUM(H91:H115)</f>
        <v>5890</v>
      </c>
      <c r="I90" s="107"/>
      <c r="J90" s="107">
        <f>SUM(J91:J115)</f>
        <v>4330</v>
      </c>
      <c r="K90" s="107"/>
      <c r="L90" s="107">
        <f>SUM(L91:L115)</f>
        <v>12680</v>
      </c>
      <c r="M90" s="107"/>
      <c r="N90" s="107">
        <f>SUM(N91:N115)</f>
        <v>22390</v>
      </c>
      <c r="O90" s="107"/>
      <c r="P90" s="107">
        <f>SUM(P91:P115)</f>
        <v>7140</v>
      </c>
      <c r="Q90" s="107"/>
      <c r="R90" s="107">
        <f>SUM(R91:R115)</f>
        <v>15155</v>
      </c>
      <c r="S90" s="107"/>
      <c r="T90" s="107">
        <f>SUM(T91:T115)</f>
        <v>18600</v>
      </c>
      <c r="U90" s="107"/>
      <c r="V90" s="107">
        <f>SUM(V91:V115)</f>
        <v>4950</v>
      </c>
      <c r="W90" s="107"/>
      <c r="X90" s="107">
        <f>SUM(X91:X115)</f>
        <v>1710</v>
      </c>
      <c r="Y90" s="107"/>
      <c r="Z90" s="107">
        <f>SUM(Z91:Z115)</f>
        <v>12880</v>
      </c>
      <c r="AA90" s="107"/>
      <c r="AB90" s="107">
        <f>SUM(AB91:AB115)</f>
        <v>5980</v>
      </c>
      <c r="AC90" s="107"/>
      <c r="AD90" s="107">
        <f>SUM(AD91:AD115)</f>
        <v>5450</v>
      </c>
      <c r="AE90" s="107"/>
      <c r="AF90" s="106">
        <f>SUM(AF91:AF115)</f>
        <v>117155</v>
      </c>
      <c r="AG90" s="106"/>
      <c r="AH90" s="106"/>
      <c r="AI90" s="106">
        <f>SUM(AI91:AI115)</f>
        <v>29210</v>
      </c>
      <c r="AJ90" s="106">
        <f>SUM(AJ91:AJ115)</f>
        <v>8279670.899787643</v>
      </c>
      <c r="AK90" s="106">
        <f>SUM(AK91:AK115)</f>
        <v>674435.20663161424</v>
      </c>
      <c r="AL90" s="106">
        <f>SUM(AL91:AL115)</f>
        <v>8954106.106419256</v>
      </c>
      <c r="AM90" s="105"/>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row>
    <row r="91" spans="1:813" s="93" customFormat="1" ht="45" x14ac:dyDescent="0.25">
      <c r="A91" s="95">
        <v>29</v>
      </c>
      <c r="B91" s="94" t="s">
        <v>305</v>
      </c>
      <c r="C91" s="50" t="s">
        <v>304</v>
      </c>
      <c r="D91" s="94" t="s">
        <v>303</v>
      </c>
      <c r="E91" s="116" t="s">
        <v>302</v>
      </c>
      <c r="F91" s="115">
        <v>8.6</v>
      </c>
      <c r="G91" s="33">
        <f>96/2</f>
        <v>48</v>
      </c>
      <c r="H91" s="33">
        <f>ROUND($F91*G91,-1)</f>
        <v>410</v>
      </c>
      <c r="I91" s="33">
        <f>35/2</f>
        <v>17.5</v>
      </c>
      <c r="J91" s="33">
        <f t="shared" ref="J91:J113" si="22">ROUND($F91*I91,-1)</f>
        <v>150</v>
      </c>
      <c r="K91" s="33">
        <f>128/2</f>
        <v>64</v>
      </c>
      <c r="L91" s="33">
        <f t="shared" ref="L91:L113" si="23">ROUND($F91*K91,-1)</f>
        <v>550</v>
      </c>
      <c r="M91" s="33">
        <f>107/2</f>
        <v>53.5</v>
      </c>
      <c r="N91" s="33">
        <f>ROUND($F91*M91,-1)</f>
        <v>460</v>
      </c>
      <c r="O91" s="33">
        <f>96/2</f>
        <v>48</v>
      </c>
      <c r="P91" s="33">
        <f t="shared" ref="P91:P113" si="24">ROUND($F91*O91,-1)</f>
        <v>410</v>
      </c>
      <c r="Q91" s="33">
        <f>120/2</f>
        <v>60</v>
      </c>
      <c r="R91" s="33">
        <f t="shared" ref="R91:R104" si="25">ROUND($F91*Q91,-1)</f>
        <v>520</v>
      </c>
      <c r="S91" s="33">
        <f>132/2</f>
        <v>66</v>
      </c>
      <c r="T91" s="33">
        <f>ROUND($F91*S91,-1)</f>
        <v>570</v>
      </c>
      <c r="U91" s="33">
        <f>39/2</f>
        <v>19.5</v>
      </c>
      <c r="V91" s="33">
        <f t="shared" ref="V91:V113" si="26">ROUND($F91*U91,-1)</f>
        <v>170</v>
      </c>
      <c r="W91" s="33">
        <f>16/2</f>
        <v>8</v>
      </c>
      <c r="X91" s="33">
        <f t="shared" ref="X91:X113" si="27">ROUND($F91*W91,-1)</f>
        <v>70</v>
      </c>
      <c r="Y91" s="33">
        <f>119/2</f>
        <v>59.5</v>
      </c>
      <c r="Z91" s="33">
        <f t="shared" ref="Z91:Z113" si="28">ROUND($F91*Y91,-1)</f>
        <v>510</v>
      </c>
      <c r="AA91" s="33">
        <f>66/2</f>
        <v>33</v>
      </c>
      <c r="AB91" s="33">
        <f t="shared" ref="AB91:AB113" si="29">ROUND($F91*AA91,-1)</f>
        <v>280</v>
      </c>
      <c r="AC91" s="33">
        <f>56/2</f>
        <v>28</v>
      </c>
      <c r="AD91" s="33">
        <f t="shared" ref="AD91:AD113" si="30">ROUND($F91*AC91,-1)</f>
        <v>240</v>
      </c>
      <c r="AE91" s="33"/>
      <c r="AF91" s="33">
        <f t="shared" ref="AF91:AF113" si="31">H91+J91+L91+N91+P91+R91+T91+V91+X91+Z91+AB91+AD91</f>
        <v>4340</v>
      </c>
      <c r="AG91" s="33">
        <v>0</v>
      </c>
      <c r="AH91" s="33">
        <v>0</v>
      </c>
      <c r="AI91" s="33">
        <f>ROUND(AG91*AH91,-1)</f>
        <v>0</v>
      </c>
      <c r="AJ91" s="46">
        <v>235242.59383653439</v>
      </c>
      <c r="AK91" s="46">
        <v>19162.100680447238</v>
      </c>
      <c r="AL91" s="46">
        <v>254404.69451698163</v>
      </c>
      <c r="AM91" s="45" t="s">
        <v>18</v>
      </c>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21"/>
      <c r="EQ91" s="21"/>
      <c r="ER91" s="21"/>
      <c r="ES91" s="21"/>
      <c r="ET91" s="21"/>
      <c r="EU91" s="21"/>
      <c r="EV91" s="21"/>
      <c r="EW91" s="21"/>
      <c r="EX91" s="21"/>
      <c r="EY91" s="21"/>
      <c r="EZ91" s="21"/>
      <c r="FA91" s="21"/>
      <c r="FB91" s="21"/>
      <c r="FC91" s="21"/>
      <c r="FD91" s="21"/>
      <c r="FE91" s="21"/>
      <c r="FF91" s="21"/>
      <c r="FG91" s="21"/>
      <c r="FH91" s="21"/>
      <c r="FI91" s="21"/>
      <c r="FJ91" s="21"/>
      <c r="FK91" s="21"/>
      <c r="FL91" s="21"/>
      <c r="FM91" s="21"/>
      <c r="FN91" s="21"/>
      <c r="FO91" s="21"/>
      <c r="FP91" s="21"/>
      <c r="FQ91" s="21"/>
      <c r="FR91" s="21"/>
      <c r="FS91" s="21"/>
      <c r="FT91" s="21"/>
      <c r="FU91" s="21"/>
      <c r="FV91" s="21"/>
      <c r="FW91" s="21"/>
      <c r="FX91" s="21"/>
      <c r="FY91" s="21"/>
      <c r="FZ91" s="21"/>
      <c r="GA91" s="21"/>
      <c r="GB91" s="21"/>
      <c r="GC91" s="21"/>
      <c r="GD91" s="21"/>
      <c r="GE91" s="21"/>
      <c r="GF91" s="21"/>
      <c r="GG91" s="21"/>
      <c r="GH91" s="21"/>
      <c r="GI91" s="21"/>
      <c r="GJ91" s="21"/>
      <c r="GK91" s="21"/>
      <c r="GL91" s="21"/>
      <c r="GM91" s="21"/>
      <c r="GN91" s="21"/>
      <c r="GO91" s="21"/>
      <c r="GP91" s="21"/>
      <c r="GQ91" s="21"/>
      <c r="GR91" s="21"/>
      <c r="GS91" s="21"/>
      <c r="GT91" s="21"/>
      <c r="GU91" s="21"/>
      <c r="GV91" s="21"/>
      <c r="GW91" s="21"/>
      <c r="GX91" s="21"/>
      <c r="GY91" s="21"/>
      <c r="GZ91" s="21"/>
      <c r="HA91" s="21"/>
      <c r="HB91" s="21"/>
      <c r="HC91" s="21"/>
      <c r="HD91" s="21"/>
      <c r="HE91" s="21"/>
      <c r="HF91" s="21"/>
      <c r="HG91" s="21"/>
      <c r="HH91" s="21"/>
      <c r="HI91" s="21"/>
      <c r="HJ91" s="21"/>
      <c r="HK91" s="21"/>
      <c r="HL91" s="21"/>
      <c r="HM91" s="21"/>
      <c r="HN91" s="21"/>
      <c r="HO91" s="21"/>
      <c r="HP91" s="21"/>
      <c r="HQ91" s="21"/>
      <c r="HR91" s="21"/>
      <c r="HS91" s="21"/>
      <c r="HT91" s="21"/>
      <c r="HU91" s="21"/>
      <c r="HV91" s="21"/>
      <c r="HW91" s="21"/>
      <c r="HX91" s="21"/>
      <c r="HY91" s="21"/>
      <c r="HZ91" s="21"/>
      <c r="IA91" s="21"/>
      <c r="IB91" s="21"/>
      <c r="IC91" s="21"/>
      <c r="ID91" s="21"/>
      <c r="IE91" s="21"/>
      <c r="IF91" s="21"/>
      <c r="IG91" s="21"/>
      <c r="IH91" s="21"/>
      <c r="II91" s="21"/>
      <c r="IJ91" s="21"/>
      <c r="IK91" s="21"/>
      <c r="IL91" s="21"/>
      <c r="IM91" s="21"/>
      <c r="IN91" s="21"/>
      <c r="IO91" s="21"/>
      <c r="IP91" s="21"/>
      <c r="IQ91" s="21"/>
      <c r="IR91" s="21"/>
      <c r="IS91" s="21"/>
      <c r="IT91" s="21"/>
      <c r="IU91" s="21"/>
      <c r="IV91" s="21"/>
      <c r="IW91" s="21"/>
      <c r="IX91" s="21"/>
      <c r="IY91" s="21"/>
      <c r="IZ91" s="21"/>
      <c r="JA91" s="21"/>
      <c r="JB91" s="21"/>
      <c r="JC91" s="21"/>
      <c r="JD91" s="21"/>
      <c r="JE91" s="21"/>
      <c r="JF91" s="21"/>
      <c r="JG91" s="21"/>
      <c r="JH91" s="21"/>
      <c r="JI91" s="21"/>
      <c r="JJ91" s="21"/>
      <c r="JK91" s="21"/>
      <c r="JL91" s="21"/>
      <c r="JM91" s="21"/>
      <c r="JN91" s="21"/>
      <c r="JO91" s="21"/>
      <c r="JP91" s="21"/>
      <c r="JQ91" s="21"/>
      <c r="JR91" s="21"/>
      <c r="JS91" s="21"/>
      <c r="JT91" s="21"/>
      <c r="JU91" s="21"/>
      <c r="JV91" s="21"/>
      <c r="JW91" s="21"/>
      <c r="JX91" s="21"/>
      <c r="JY91" s="21"/>
      <c r="JZ91" s="21"/>
      <c r="KA91" s="21"/>
      <c r="KB91" s="21"/>
      <c r="KC91" s="21"/>
      <c r="KD91" s="21"/>
      <c r="KE91" s="21"/>
      <c r="KF91" s="21"/>
      <c r="KG91" s="21"/>
      <c r="KH91" s="21"/>
      <c r="KI91" s="21"/>
      <c r="KJ91" s="21"/>
      <c r="KK91" s="21"/>
      <c r="KL91" s="21"/>
      <c r="KM91" s="21"/>
      <c r="KN91" s="21"/>
      <c r="KO91" s="21"/>
      <c r="KP91" s="21"/>
      <c r="KQ91" s="21"/>
      <c r="KR91" s="21"/>
      <c r="KS91" s="21"/>
      <c r="KT91" s="21"/>
      <c r="KU91" s="21"/>
      <c r="KV91" s="21"/>
      <c r="KW91" s="21"/>
      <c r="KX91" s="21"/>
      <c r="KY91" s="21"/>
      <c r="KZ91" s="21"/>
      <c r="LA91" s="21"/>
      <c r="LB91" s="21"/>
      <c r="LC91" s="21"/>
      <c r="LD91" s="21"/>
      <c r="LE91" s="21"/>
      <c r="LF91" s="21"/>
      <c r="LG91" s="21"/>
      <c r="LH91" s="21"/>
      <c r="LI91" s="21"/>
      <c r="LJ91" s="21"/>
      <c r="LK91" s="21"/>
      <c r="LL91" s="21"/>
      <c r="LM91" s="21"/>
      <c r="LN91" s="21"/>
      <c r="LO91" s="21"/>
      <c r="LP91" s="21"/>
      <c r="LQ91" s="21"/>
      <c r="LR91" s="21"/>
      <c r="LS91" s="21"/>
      <c r="LT91" s="21"/>
      <c r="LU91" s="21"/>
      <c r="LV91" s="21"/>
      <c r="LW91" s="21"/>
      <c r="LX91" s="21"/>
      <c r="LY91" s="21"/>
      <c r="LZ91" s="21"/>
      <c r="MA91" s="21"/>
      <c r="MB91" s="21"/>
      <c r="MC91" s="21"/>
      <c r="MD91" s="21"/>
      <c r="ME91" s="21"/>
      <c r="MF91" s="21"/>
      <c r="MG91" s="21"/>
      <c r="MH91" s="21"/>
      <c r="MI91" s="21"/>
      <c r="MJ91" s="21"/>
      <c r="MK91" s="21"/>
      <c r="ML91" s="21"/>
      <c r="MM91" s="21"/>
      <c r="MN91" s="21"/>
      <c r="MO91" s="21"/>
      <c r="MP91" s="21"/>
      <c r="MQ91" s="21"/>
      <c r="MR91" s="21"/>
      <c r="MS91" s="21"/>
      <c r="MT91" s="21"/>
      <c r="MU91" s="21"/>
      <c r="MV91" s="21"/>
      <c r="MW91" s="21"/>
      <c r="MX91" s="21"/>
      <c r="MY91" s="21"/>
      <c r="MZ91" s="21"/>
      <c r="NA91" s="21"/>
      <c r="NB91" s="21"/>
      <c r="NC91" s="21"/>
      <c r="ND91" s="21"/>
      <c r="NE91" s="21"/>
      <c r="NF91" s="21"/>
      <c r="NG91" s="21"/>
      <c r="NH91" s="21"/>
      <c r="NI91" s="21"/>
      <c r="NJ91" s="21"/>
      <c r="NK91" s="21"/>
      <c r="NL91" s="21"/>
      <c r="NM91" s="21"/>
      <c r="NN91" s="21"/>
      <c r="NO91" s="21"/>
      <c r="NP91" s="21"/>
      <c r="NQ91" s="21"/>
      <c r="NR91" s="21"/>
      <c r="NS91" s="21"/>
      <c r="NT91" s="21"/>
      <c r="NU91" s="21"/>
      <c r="NV91" s="21"/>
      <c r="NW91" s="21"/>
      <c r="NX91" s="21"/>
      <c r="NY91" s="21"/>
      <c r="NZ91" s="21"/>
      <c r="OA91" s="21"/>
      <c r="OB91" s="21"/>
      <c r="OC91" s="21"/>
      <c r="OD91" s="21"/>
      <c r="OE91" s="21"/>
      <c r="OF91" s="21"/>
      <c r="OG91" s="21"/>
      <c r="OH91" s="21"/>
      <c r="OI91" s="21"/>
      <c r="OJ91" s="21"/>
      <c r="OK91" s="21"/>
      <c r="OL91" s="21"/>
      <c r="OM91" s="21"/>
      <c r="ON91" s="21"/>
      <c r="OO91" s="21"/>
      <c r="OP91" s="21"/>
      <c r="OQ91" s="21"/>
      <c r="OR91" s="21"/>
      <c r="OS91" s="21"/>
      <c r="OT91" s="21"/>
      <c r="OU91" s="21"/>
      <c r="OV91" s="21"/>
      <c r="OW91" s="21"/>
      <c r="OX91" s="21"/>
      <c r="OY91" s="21"/>
      <c r="OZ91" s="21"/>
      <c r="PA91" s="21"/>
      <c r="PB91" s="21"/>
      <c r="PC91" s="21"/>
      <c r="PD91" s="21"/>
      <c r="PE91" s="21"/>
      <c r="PF91" s="21"/>
      <c r="PG91" s="21"/>
      <c r="PH91" s="21"/>
      <c r="PI91" s="21"/>
      <c r="PJ91" s="21"/>
      <c r="PK91" s="21"/>
      <c r="PL91" s="21"/>
      <c r="PM91" s="21"/>
      <c r="PN91" s="21"/>
      <c r="PO91" s="21"/>
      <c r="PP91" s="21"/>
      <c r="PQ91" s="21"/>
      <c r="PR91" s="21"/>
      <c r="PS91" s="21"/>
      <c r="PT91" s="21"/>
      <c r="PU91" s="21"/>
      <c r="PV91" s="21"/>
      <c r="PW91" s="21"/>
      <c r="PX91" s="21"/>
      <c r="PY91" s="21"/>
      <c r="PZ91" s="21"/>
      <c r="QA91" s="21"/>
      <c r="QB91" s="21"/>
      <c r="QC91" s="21"/>
      <c r="QD91" s="21"/>
      <c r="QE91" s="21"/>
      <c r="QF91" s="21"/>
      <c r="QG91" s="21"/>
      <c r="QH91" s="21"/>
      <c r="QI91" s="21"/>
      <c r="QJ91" s="21"/>
      <c r="QK91" s="21"/>
      <c r="QL91" s="21"/>
      <c r="QM91" s="21"/>
      <c r="QN91" s="21"/>
      <c r="QO91" s="21"/>
      <c r="QP91" s="21"/>
      <c r="QQ91" s="21"/>
      <c r="QR91" s="21"/>
      <c r="QS91" s="21"/>
      <c r="QT91" s="21"/>
      <c r="QU91" s="21"/>
      <c r="QV91" s="21"/>
      <c r="QW91" s="21"/>
      <c r="QX91" s="21"/>
      <c r="QY91" s="21"/>
      <c r="QZ91" s="21"/>
      <c r="RA91" s="21"/>
      <c r="RB91" s="21"/>
      <c r="RC91" s="21"/>
      <c r="RD91" s="21"/>
      <c r="RE91" s="21"/>
      <c r="RF91" s="21"/>
      <c r="RG91" s="21"/>
      <c r="RH91" s="21"/>
      <c r="RI91" s="21"/>
      <c r="RJ91" s="21"/>
      <c r="RK91" s="21"/>
      <c r="RL91" s="21"/>
      <c r="RM91" s="21"/>
      <c r="RN91" s="21"/>
      <c r="RO91" s="21"/>
      <c r="RP91" s="21"/>
      <c r="RQ91" s="21"/>
      <c r="RR91" s="21"/>
      <c r="RS91" s="21"/>
      <c r="RT91" s="21"/>
      <c r="RU91" s="21"/>
      <c r="RV91" s="21"/>
      <c r="RW91" s="21"/>
      <c r="RX91" s="21"/>
      <c r="RY91" s="21"/>
      <c r="RZ91" s="21"/>
      <c r="SA91" s="21"/>
      <c r="SB91" s="21"/>
      <c r="SC91" s="21"/>
      <c r="SD91" s="21"/>
      <c r="SE91" s="21"/>
      <c r="SF91" s="21"/>
      <c r="SG91" s="21"/>
      <c r="SH91" s="21"/>
      <c r="SI91" s="21"/>
      <c r="SJ91" s="21"/>
      <c r="SK91" s="21"/>
      <c r="SL91" s="21"/>
      <c r="SM91" s="21"/>
      <c r="SN91" s="21"/>
      <c r="SO91" s="21"/>
      <c r="SP91" s="21"/>
      <c r="SQ91" s="21"/>
      <c r="SR91" s="21"/>
      <c r="SS91" s="21"/>
      <c r="ST91" s="21"/>
      <c r="SU91" s="21"/>
      <c r="SV91" s="21"/>
      <c r="SW91" s="21"/>
      <c r="SX91" s="21"/>
      <c r="SY91" s="21"/>
      <c r="SZ91" s="21"/>
      <c r="TA91" s="21"/>
      <c r="TB91" s="21"/>
      <c r="TC91" s="21"/>
      <c r="TD91" s="21"/>
      <c r="TE91" s="21"/>
      <c r="TF91" s="21"/>
      <c r="TG91" s="21"/>
      <c r="TH91" s="21"/>
      <c r="TI91" s="21"/>
      <c r="TJ91" s="21"/>
      <c r="TK91" s="21"/>
      <c r="TL91" s="21"/>
      <c r="TM91" s="21"/>
      <c r="TN91" s="21"/>
      <c r="TO91" s="21"/>
      <c r="TP91" s="21"/>
      <c r="TQ91" s="21"/>
      <c r="TR91" s="21"/>
      <c r="TS91" s="21"/>
      <c r="TT91" s="21"/>
      <c r="TU91" s="21"/>
      <c r="TV91" s="21"/>
      <c r="TW91" s="21"/>
      <c r="TX91" s="21"/>
      <c r="TY91" s="21"/>
      <c r="TZ91" s="21"/>
      <c r="UA91" s="21"/>
      <c r="UB91" s="21"/>
      <c r="UC91" s="21"/>
      <c r="UD91" s="21"/>
      <c r="UE91" s="21"/>
      <c r="UF91" s="21"/>
      <c r="UG91" s="21"/>
      <c r="UH91" s="21"/>
      <c r="UI91" s="21"/>
      <c r="UJ91" s="21"/>
      <c r="UK91" s="21"/>
      <c r="UL91" s="21"/>
      <c r="UM91" s="21"/>
      <c r="UN91" s="21"/>
      <c r="UO91" s="21"/>
      <c r="UP91" s="21"/>
      <c r="UQ91" s="21"/>
      <c r="UR91" s="21"/>
      <c r="US91" s="21"/>
      <c r="UT91" s="21"/>
      <c r="UU91" s="21"/>
      <c r="UV91" s="21"/>
      <c r="UW91" s="21"/>
      <c r="UX91" s="21"/>
      <c r="UY91" s="21"/>
      <c r="UZ91" s="21"/>
      <c r="VA91" s="21"/>
      <c r="VB91" s="21"/>
      <c r="VC91" s="21"/>
      <c r="VD91" s="21"/>
      <c r="VE91" s="21"/>
      <c r="VF91" s="21"/>
      <c r="VG91" s="21"/>
      <c r="VH91" s="21"/>
      <c r="VI91" s="21"/>
      <c r="VJ91" s="21"/>
      <c r="VK91" s="21"/>
      <c r="VL91" s="21"/>
      <c r="VM91" s="21"/>
      <c r="VN91" s="21"/>
      <c r="VO91" s="21"/>
      <c r="VP91" s="21"/>
      <c r="VQ91" s="21"/>
      <c r="VR91" s="21"/>
      <c r="VS91" s="21"/>
      <c r="VT91" s="21"/>
      <c r="VU91" s="21"/>
      <c r="VV91" s="21"/>
      <c r="VW91" s="21"/>
      <c r="VX91" s="21"/>
      <c r="VY91" s="21"/>
      <c r="VZ91" s="21"/>
      <c r="WA91" s="21"/>
      <c r="WB91" s="21"/>
      <c r="WC91" s="21"/>
      <c r="WD91" s="21"/>
      <c r="WE91" s="21"/>
      <c r="WF91" s="21"/>
      <c r="WG91" s="21"/>
      <c r="WH91" s="21"/>
      <c r="WI91" s="21"/>
      <c r="WJ91" s="21"/>
      <c r="WK91" s="21"/>
      <c r="WL91" s="21"/>
      <c r="WM91" s="21"/>
      <c r="WN91" s="21"/>
      <c r="WO91" s="21"/>
      <c r="WP91" s="21"/>
      <c r="WQ91" s="21"/>
      <c r="WR91" s="21"/>
      <c r="WS91" s="21"/>
      <c r="WT91" s="21"/>
      <c r="WU91" s="21"/>
      <c r="WV91" s="21"/>
      <c r="WW91" s="21"/>
      <c r="WX91" s="21"/>
      <c r="WY91" s="21"/>
      <c r="WZ91" s="21"/>
      <c r="XA91" s="21"/>
      <c r="XB91" s="21"/>
      <c r="XC91" s="21"/>
      <c r="XD91" s="21"/>
      <c r="XE91" s="21"/>
      <c r="XF91" s="21"/>
      <c r="XG91" s="21"/>
      <c r="XH91" s="21"/>
      <c r="XI91" s="21"/>
      <c r="XJ91" s="21"/>
      <c r="XK91" s="21"/>
      <c r="XL91" s="21"/>
      <c r="XM91" s="21"/>
      <c r="XN91" s="21"/>
      <c r="XO91" s="21"/>
      <c r="XP91" s="21"/>
      <c r="XQ91" s="21"/>
      <c r="XR91" s="21"/>
      <c r="XS91" s="21"/>
      <c r="XT91" s="21"/>
      <c r="XU91" s="21"/>
      <c r="XV91" s="21"/>
      <c r="XW91" s="21"/>
      <c r="XX91" s="21"/>
      <c r="XY91" s="21"/>
      <c r="XZ91" s="21"/>
      <c r="YA91" s="21"/>
      <c r="YB91" s="21"/>
      <c r="YC91" s="21"/>
      <c r="YD91" s="21"/>
      <c r="YE91" s="21"/>
      <c r="YF91" s="21"/>
      <c r="YG91" s="21"/>
      <c r="YH91" s="21"/>
      <c r="YI91" s="21"/>
      <c r="YJ91" s="21"/>
      <c r="YK91" s="21"/>
      <c r="YL91" s="21"/>
      <c r="YM91" s="21"/>
      <c r="YN91" s="21"/>
      <c r="YO91" s="21"/>
      <c r="YP91" s="21"/>
      <c r="YQ91" s="21"/>
      <c r="YR91" s="21"/>
      <c r="YS91" s="21"/>
      <c r="YT91" s="21"/>
      <c r="YU91" s="21"/>
      <c r="YV91" s="21"/>
      <c r="YW91" s="21"/>
      <c r="YX91" s="21"/>
      <c r="YY91" s="21"/>
      <c r="YZ91" s="21"/>
      <c r="ZA91" s="21"/>
      <c r="ZB91" s="21"/>
      <c r="ZC91" s="21"/>
      <c r="ZD91" s="21"/>
      <c r="ZE91" s="21"/>
      <c r="ZF91" s="21"/>
      <c r="ZG91" s="21"/>
      <c r="ZH91" s="21"/>
      <c r="ZI91" s="21"/>
      <c r="ZJ91" s="21"/>
      <c r="ZK91" s="21"/>
      <c r="ZL91" s="21"/>
      <c r="ZM91" s="21"/>
      <c r="ZN91" s="21"/>
      <c r="ZO91" s="21"/>
      <c r="ZP91" s="21"/>
      <c r="ZQ91" s="21"/>
      <c r="ZR91" s="21"/>
      <c r="ZS91" s="21"/>
      <c r="ZT91" s="21"/>
      <c r="ZU91" s="21"/>
      <c r="ZV91" s="21"/>
      <c r="ZW91" s="21"/>
      <c r="ZX91" s="21"/>
      <c r="ZY91" s="21"/>
      <c r="ZZ91" s="21"/>
      <c r="AAA91" s="21"/>
      <c r="AAB91" s="21"/>
      <c r="AAC91" s="21"/>
      <c r="AAD91" s="21"/>
      <c r="AAE91" s="21"/>
      <c r="AAF91" s="21"/>
      <c r="AAG91" s="21"/>
      <c r="AAH91" s="21"/>
      <c r="AAI91" s="21"/>
      <c r="AAJ91" s="21"/>
      <c r="AAK91" s="21"/>
      <c r="AAL91" s="21"/>
      <c r="AAM91" s="21"/>
      <c r="AAN91" s="21"/>
      <c r="AAO91" s="21"/>
      <c r="AAP91" s="21"/>
      <c r="AAQ91" s="21"/>
      <c r="AAR91" s="21"/>
      <c r="AAS91" s="21"/>
      <c r="AAT91" s="21"/>
      <c r="AAU91" s="21"/>
      <c r="AAV91" s="21"/>
      <c r="AAW91" s="21"/>
      <c r="AAX91" s="21"/>
      <c r="AAY91" s="21"/>
      <c r="AAZ91" s="21"/>
      <c r="ABA91" s="21"/>
      <c r="ABB91" s="21"/>
      <c r="ABC91" s="21"/>
      <c r="ABD91" s="21"/>
      <c r="ABE91" s="21"/>
      <c r="ABF91" s="21"/>
      <c r="ABG91" s="21"/>
      <c r="ABH91" s="21"/>
      <c r="ABI91" s="21"/>
      <c r="ABJ91" s="21"/>
      <c r="ABK91" s="21"/>
      <c r="ABL91" s="21"/>
      <c r="ABM91" s="21"/>
      <c r="ABN91" s="21"/>
      <c r="ABO91" s="21"/>
      <c r="ABP91" s="21"/>
      <c r="ABQ91" s="21"/>
      <c r="ABR91" s="21"/>
      <c r="ABS91" s="21"/>
      <c r="ABT91" s="21"/>
      <c r="ABU91" s="21"/>
      <c r="ABV91" s="21"/>
      <c r="ABW91" s="21"/>
      <c r="ABX91" s="21"/>
      <c r="ABY91" s="21"/>
      <c r="ABZ91" s="21"/>
      <c r="ACA91" s="21"/>
      <c r="ACB91" s="21"/>
      <c r="ACC91" s="21"/>
      <c r="ACD91" s="21"/>
      <c r="ACE91" s="21"/>
      <c r="ACF91" s="21"/>
      <c r="ACG91" s="21"/>
      <c r="ACH91" s="21"/>
      <c r="ACI91" s="21"/>
      <c r="ACJ91" s="21"/>
      <c r="ACK91" s="21"/>
      <c r="ACL91" s="21"/>
      <c r="ACM91" s="21"/>
      <c r="ACN91" s="21"/>
      <c r="ACO91" s="21"/>
      <c r="ACP91" s="21"/>
      <c r="ACQ91" s="21"/>
      <c r="ACR91" s="21"/>
      <c r="ACS91" s="21"/>
      <c r="ACT91" s="21"/>
      <c r="ACU91" s="21"/>
      <c r="ACV91" s="21"/>
      <c r="ACW91" s="21"/>
      <c r="ACX91" s="21"/>
      <c r="ACY91" s="21"/>
      <c r="ACZ91" s="21"/>
      <c r="ADA91" s="21"/>
      <c r="ADB91" s="21"/>
      <c r="ADC91" s="21"/>
      <c r="ADD91" s="21"/>
      <c r="ADE91" s="21"/>
      <c r="ADF91" s="21"/>
      <c r="ADG91" s="21"/>
      <c r="ADH91" s="21"/>
      <c r="ADI91" s="21"/>
      <c r="ADJ91" s="21"/>
      <c r="ADK91" s="21"/>
      <c r="ADL91" s="21"/>
      <c r="ADM91" s="21"/>
      <c r="ADN91" s="21"/>
      <c r="ADO91" s="21"/>
      <c r="ADP91" s="21"/>
      <c r="ADQ91" s="21"/>
      <c r="ADR91" s="21"/>
      <c r="ADS91" s="21"/>
      <c r="ADT91" s="21"/>
      <c r="ADU91" s="21"/>
      <c r="ADV91" s="21"/>
      <c r="ADW91" s="21"/>
      <c r="ADX91" s="21"/>
      <c r="ADY91" s="21"/>
      <c r="ADZ91" s="21"/>
      <c r="AEA91" s="21"/>
      <c r="AEB91" s="21"/>
      <c r="AEC91" s="21"/>
      <c r="AED91" s="21"/>
      <c r="AEE91" s="21"/>
      <c r="AEF91" s="21"/>
      <c r="AEG91" s="21"/>
    </row>
    <row r="92" spans="1:813" s="93" customFormat="1" ht="90" x14ac:dyDescent="0.25">
      <c r="A92" s="91">
        <v>30</v>
      </c>
      <c r="B92" s="63" t="s">
        <v>301</v>
      </c>
      <c r="C92" s="38" t="s">
        <v>300</v>
      </c>
      <c r="D92" s="63" t="s">
        <v>299</v>
      </c>
      <c r="E92" s="36" t="s">
        <v>298</v>
      </c>
      <c r="F92" s="111">
        <v>19.899999999999999</v>
      </c>
      <c r="G92" s="32">
        <f>70/2</f>
        <v>35</v>
      </c>
      <c r="H92" s="33">
        <f>ROUND($F92*G92,-1)</f>
        <v>700</v>
      </c>
      <c r="I92" s="32">
        <f>39/2</f>
        <v>19.5</v>
      </c>
      <c r="J92" s="33">
        <f t="shared" si="22"/>
        <v>390</v>
      </c>
      <c r="K92" s="32">
        <f>126/2</f>
        <v>63</v>
      </c>
      <c r="L92" s="33">
        <f t="shared" si="23"/>
        <v>1250</v>
      </c>
      <c r="M92" s="32">
        <f>179/2</f>
        <v>89.5</v>
      </c>
      <c r="N92" s="33">
        <f>ROUND($F92*M92,-1)</f>
        <v>1780</v>
      </c>
      <c r="O92" s="32">
        <f>76/2</f>
        <v>38</v>
      </c>
      <c r="P92" s="33">
        <f t="shared" si="24"/>
        <v>760</v>
      </c>
      <c r="Q92" s="32">
        <f>180/2</f>
        <v>90</v>
      </c>
      <c r="R92" s="33">
        <f t="shared" si="25"/>
        <v>1790</v>
      </c>
      <c r="S92" s="32">
        <f>152/2</f>
        <v>76</v>
      </c>
      <c r="T92" s="33">
        <f>ROUND($F92*S92,-1)</f>
        <v>1510</v>
      </c>
      <c r="U92" s="32">
        <f>40/2</f>
        <v>20</v>
      </c>
      <c r="V92" s="33">
        <f t="shared" si="26"/>
        <v>400</v>
      </c>
      <c r="W92" s="32">
        <f>15/2</f>
        <v>7.5</v>
      </c>
      <c r="X92" s="33">
        <f t="shared" si="27"/>
        <v>150</v>
      </c>
      <c r="Y92" s="32">
        <f>175/2</f>
        <v>87.5</v>
      </c>
      <c r="Z92" s="33">
        <f t="shared" si="28"/>
        <v>1740</v>
      </c>
      <c r="AA92" s="32">
        <f>72/2</f>
        <v>36</v>
      </c>
      <c r="AB92" s="33">
        <f t="shared" si="29"/>
        <v>720</v>
      </c>
      <c r="AC92" s="32">
        <f>26/2</f>
        <v>13</v>
      </c>
      <c r="AD92" s="33">
        <f t="shared" si="30"/>
        <v>260</v>
      </c>
      <c r="AE92" s="32"/>
      <c r="AF92" s="33">
        <f t="shared" si="31"/>
        <v>11450</v>
      </c>
      <c r="AG92" s="33">
        <v>7.1</v>
      </c>
      <c r="AH92" s="33">
        <f>1150/2</f>
        <v>575</v>
      </c>
      <c r="AI92" s="33">
        <f>ROUND(AG92*AH92,-1)</f>
        <v>4080</v>
      </c>
      <c r="AJ92" s="31">
        <v>932180.83183415723</v>
      </c>
      <c r="AK92" s="31">
        <v>75932.434941614018</v>
      </c>
      <c r="AL92" s="31">
        <v>1008113.2667757713</v>
      </c>
      <c r="AM92" s="30" t="s">
        <v>18</v>
      </c>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c r="FL92" s="21"/>
      <c r="FM92" s="21"/>
      <c r="FN92" s="21"/>
      <c r="FO92" s="21"/>
      <c r="FP92" s="21"/>
      <c r="FQ92" s="21"/>
      <c r="FR92" s="21"/>
      <c r="FS92" s="21"/>
      <c r="FT92" s="21"/>
      <c r="FU92" s="21"/>
      <c r="FV92" s="21"/>
      <c r="FW92" s="21"/>
      <c r="FX92" s="21"/>
      <c r="FY92" s="21"/>
      <c r="FZ92" s="21"/>
      <c r="GA92" s="21"/>
      <c r="GB92" s="21"/>
      <c r="GC92" s="21"/>
      <c r="GD92" s="21"/>
      <c r="GE92" s="21"/>
      <c r="GF92" s="21"/>
      <c r="GG92" s="21"/>
      <c r="GH92" s="21"/>
      <c r="GI92" s="21"/>
      <c r="GJ92" s="21"/>
      <c r="GK92" s="21"/>
      <c r="GL92" s="21"/>
      <c r="GM92" s="21"/>
      <c r="GN92" s="21"/>
      <c r="GO92" s="21"/>
      <c r="GP92" s="21"/>
      <c r="GQ92" s="21"/>
      <c r="GR92" s="21"/>
      <c r="GS92" s="21"/>
      <c r="GT92" s="21"/>
      <c r="GU92" s="21"/>
      <c r="GV92" s="21"/>
      <c r="GW92" s="21"/>
      <c r="GX92" s="21"/>
      <c r="GY92" s="21"/>
      <c r="GZ92" s="21"/>
      <c r="HA92" s="21"/>
      <c r="HB92" s="21"/>
      <c r="HC92" s="21"/>
      <c r="HD92" s="21"/>
      <c r="HE92" s="21"/>
      <c r="HF92" s="21"/>
      <c r="HG92" s="21"/>
      <c r="HH92" s="21"/>
      <c r="HI92" s="21"/>
      <c r="HJ92" s="21"/>
      <c r="HK92" s="21"/>
      <c r="HL92" s="21"/>
      <c r="HM92" s="21"/>
      <c r="HN92" s="21"/>
      <c r="HO92" s="21"/>
      <c r="HP92" s="21"/>
      <c r="HQ92" s="21"/>
      <c r="HR92" s="21"/>
      <c r="HS92" s="21"/>
      <c r="HT92" s="21"/>
      <c r="HU92" s="21"/>
      <c r="HV92" s="21"/>
      <c r="HW92" s="21"/>
      <c r="HX92" s="21"/>
      <c r="HY92" s="21"/>
      <c r="HZ92" s="21"/>
      <c r="IA92" s="21"/>
      <c r="IB92" s="21"/>
      <c r="IC92" s="21"/>
      <c r="ID92" s="21"/>
      <c r="IE92" s="21"/>
      <c r="IF92" s="21"/>
      <c r="IG92" s="21"/>
      <c r="IH92" s="21"/>
      <c r="II92" s="21"/>
      <c r="IJ92" s="21"/>
      <c r="IK92" s="21"/>
      <c r="IL92" s="21"/>
      <c r="IM92" s="21"/>
      <c r="IN92" s="21"/>
      <c r="IO92" s="21"/>
      <c r="IP92" s="21"/>
      <c r="IQ92" s="21"/>
      <c r="IR92" s="21"/>
      <c r="IS92" s="21"/>
      <c r="IT92" s="21"/>
      <c r="IU92" s="21"/>
      <c r="IV92" s="21"/>
      <c r="IW92" s="21"/>
      <c r="IX92" s="21"/>
      <c r="IY92" s="21"/>
      <c r="IZ92" s="21"/>
      <c r="JA92" s="21"/>
      <c r="JB92" s="21"/>
      <c r="JC92" s="21"/>
      <c r="JD92" s="21"/>
      <c r="JE92" s="21"/>
      <c r="JF92" s="21"/>
      <c r="JG92" s="21"/>
      <c r="JH92" s="21"/>
      <c r="JI92" s="21"/>
      <c r="JJ92" s="21"/>
      <c r="JK92" s="21"/>
      <c r="JL92" s="21"/>
      <c r="JM92" s="21"/>
      <c r="JN92" s="21"/>
      <c r="JO92" s="21"/>
      <c r="JP92" s="21"/>
      <c r="JQ92" s="21"/>
      <c r="JR92" s="21"/>
      <c r="JS92" s="21"/>
      <c r="JT92" s="21"/>
      <c r="JU92" s="21"/>
      <c r="JV92" s="21"/>
      <c r="JW92" s="21"/>
      <c r="JX92" s="21"/>
      <c r="JY92" s="21"/>
      <c r="JZ92" s="21"/>
      <c r="KA92" s="21"/>
      <c r="KB92" s="21"/>
      <c r="KC92" s="21"/>
      <c r="KD92" s="21"/>
      <c r="KE92" s="21"/>
      <c r="KF92" s="21"/>
      <c r="KG92" s="21"/>
      <c r="KH92" s="21"/>
      <c r="KI92" s="21"/>
      <c r="KJ92" s="21"/>
      <c r="KK92" s="21"/>
      <c r="KL92" s="21"/>
      <c r="KM92" s="21"/>
      <c r="KN92" s="21"/>
      <c r="KO92" s="21"/>
      <c r="KP92" s="21"/>
      <c r="KQ92" s="21"/>
      <c r="KR92" s="21"/>
      <c r="KS92" s="21"/>
      <c r="KT92" s="21"/>
      <c r="KU92" s="21"/>
      <c r="KV92" s="21"/>
      <c r="KW92" s="21"/>
      <c r="KX92" s="21"/>
      <c r="KY92" s="21"/>
      <c r="KZ92" s="21"/>
      <c r="LA92" s="21"/>
      <c r="LB92" s="21"/>
      <c r="LC92" s="21"/>
      <c r="LD92" s="21"/>
      <c r="LE92" s="21"/>
      <c r="LF92" s="21"/>
      <c r="LG92" s="21"/>
      <c r="LH92" s="21"/>
      <c r="LI92" s="21"/>
      <c r="LJ92" s="21"/>
      <c r="LK92" s="21"/>
      <c r="LL92" s="21"/>
      <c r="LM92" s="21"/>
      <c r="LN92" s="21"/>
      <c r="LO92" s="21"/>
      <c r="LP92" s="21"/>
      <c r="LQ92" s="21"/>
      <c r="LR92" s="21"/>
      <c r="LS92" s="21"/>
      <c r="LT92" s="21"/>
      <c r="LU92" s="21"/>
      <c r="LV92" s="21"/>
      <c r="LW92" s="21"/>
      <c r="LX92" s="21"/>
      <c r="LY92" s="21"/>
      <c r="LZ92" s="21"/>
      <c r="MA92" s="21"/>
      <c r="MB92" s="21"/>
      <c r="MC92" s="21"/>
      <c r="MD92" s="21"/>
      <c r="ME92" s="21"/>
      <c r="MF92" s="21"/>
      <c r="MG92" s="21"/>
      <c r="MH92" s="21"/>
      <c r="MI92" s="21"/>
      <c r="MJ92" s="21"/>
      <c r="MK92" s="21"/>
      <c r="ML92" s="21"/>
      <c r="MM92" s="21"/>
      <c r="MN92" s="21"/>
      <c r="MO92" s="21"/>
      <c r="MP92" s="21"/>
      <c r="MQ92" s="21"/>
      <c r="MR92" s="21"/>
      <c r="MS92" s="21"/>
      <c r="MT92" s="21"/>
      <c r="MU92" s="21"/>
      <c r="MV92" s="21"/>
      <c r="MW92" s="21"/>
      <c r="MX92" s="21"/>
      <c r="MY92" s="21"/>
      <c r="MZ92" s="21"/>
      <c r="NA92" s="21"/>
      <c r="NB92" s="21"/>
      <c r="NC92" s="21"/>
      <c r="ND92" s="21"/>
      <c r="NE92" s="21"/>
      <c r="NF92" s="21"/>
      <c r="NG92" s="21"/>
      <c r="NH92" s="21"/>
      <c r="NI92" s="21"/>
      <c r="NJ92" s="21"/>
      <c r="NK92" s="21"/>
      <c r="NL92" s="21"/>
      <c r="NM92" s="21"/>
      <c r="NN92" s="21"/>
      <c r="NO92" s="21"/>
      <c r="NP92" s="21"/>
      <c r="NQ92" s="21"/>
      <c r="NR92" s="21"/>
      <c r="NS92" s="21"/>
      <c r="NT92" s="21"/>
      <c r="NU92" s="21"/>
      <c r="NV92" s="21"/>
      <c r="NW92" s="21"/>
      <c r="NX92" s="21"/>
      <c r="NY92" s="21"/>
      <c r="NZ92" s="21"/>
      <c r="OA92" s="21"/>
      <c r="OB92" s="21"/>
      <c r="OC92" s="21"/>
      <c r="OD92" s="21"/>
      <c r="OE92" s="21"/>
      <c r="OF92" s="21"/>
      <c r="OG92" s="21"/>
      <c r="OH92" s="21"/>
      <c r="OI92" s="21"/>
      <c r="OJ92" s="21"/>
      <c r="OK92" s="21"/>
      <c r="OL92" s="21"/>
      <c r="OM92" s="21"/>
      <c r="ON92" s="21"/>
      <c r="OO92" s="21"/>
      <c r="OP92" s="21"/>
      <c r="OQ92" s="21"/>
      <c r="OR92" s="21"/>
      <c r="OS92" s="21"/>
      <c r="OT92" s="21"/>
      <c r="OU92" s="21"/>
      <c r="OV92" s="21"/>
      <c r="OW92" s="21"/>
      <c r="OX92" s="21"/>
      <c r="OY92" s="21"/>
      <c r="OZ92" s="21"/>
      <c r="PA92" s="21"/>
      <c r="PB92" s="21"/>
      <c r="PC92" s="21"/>
      <c r="PD92" s="21"/>
      <c r="PE92" s="21"/>
      <c r="PF92" s="21"/>
      <c r="PG92" s="21"/>
      <c r="PH92" s="21"/>
      <c r="PI92" s="21"/>
      <c r="PJ92" s="21"/>
      <c r="PK92" s="21"/>
      <c r="PL92" s="21"/>
      <c r="PM92" s="21"/>
      <c r="PN92" s="21"/>
      <c r="PO92" s="21"/>
      <c r="PP92" s="21"/>
      <c r="PQ92" s="21"/>
      <c r="PR92" s="21"/>
      <c r="PS92" s="21"/>
      <c r="PT92" s="21"/>
      <c r="PU92" s="21"/>
      <c r="PV92" s="21"/>
      <c r="PW92" s="21"/>
      <c r="PX92" s="21"/>
      <c r="PY92" s="21"/>
      <c r="PZ92" s="21"/>
      <c r="QA92" s="21"/>
      <c r="QB92" s="21"/>
      <c r="QC92" s="21"/>
      <c r="QD92" s="21"/>
      <c r="QE92" s="21"/>
      <c r="QF92" s="21"/>
      <c r="QG92" s="21"/>
      <c r="QH92" s="21"/>
      <c r="QI92" s="21"/>
      <c r="QJ92" s="21"/>
      <c r="QK92" s="21"/>
      <c r="QL92" s="21"/>
      <c r="QM92" s="21"/>
      <c r="QN92" s="21"/>
      <c r="QO92" s="21"/>
      <c r="QP92" s="21"/>
      <c r="QQ92" s="21"/>
      <c r="QR92" s="21"/>
      <c r="QS92" s="21"/>
      <c r="QT92" s="21"/>
      <c r="QU92" s="21"/>
      <c r="QV92" s="21"/>
      <c r="QW92" s="21"/>
      <c r="QX92" s="21"/>
      <c r="QY92" s="21"/>
      <c r="QZ92" s="21"/>
      <c r="RA92" s="21"/>
      <c r="RB92" s="21"/>
      <c r="RC92" s="21"/>
      <c r="RD92" s="21"/>
      <c r="RE92" s="21"/>
      <c r="RF92" s="21"/>
      <c r="RG92" s="21"/>
      <c r="RH92" s="21"/>
      <c r="RI92" s="21"/>
      <c r="RJ92" s="21"/>
      <c r="RK92" s="21"/>
      <c r="RL92" s="21"/>
      <c r="RM92" s="21"/>
      <c r="RN92" s="21"/>
      <c r="RO92" s="21"/>
      <c r="RP92" s="21"/>
      <c r="RQ92" s="21"/>
      <c r="RR92" s="21"/>
      <c r="RS92" s="21"/>
      <c r="RT92" s="21"/>
      <c r="RU92" s="21"/>
      <c r="RV92" s="21"/>
      <c r="RW92" s="21"/>
      <c r="RX92" s="21"/>
      <c r="RY92" s="21"/>
      <c r="RZ92" s="21"/>
      <c r="SA92" s="21"/>
      <c r="SB92" s="21"/>
      <c r="SC92" s="21"/>
      <c r="SD92" s="21"/>
      <c r="SE92" s="21"/>
      <c r="SF92" s="21"/>
      <c r="SG92" s="21"/>
      <c r="SH92" s="21"/>
      <c r="SI92" s="21"/>
      <c r="SJ92" s="21"/>
      <c r="SK92" s="21"/>
      <c r="SL92" s="21"/>
      <c r="SM92" s="21"/>
      <c r="SN92" s="21"/>
      <c r="SO92" s="21"/>
      <c r="SP92" s="21"/>
      <c r="SQ92" s="21"/>
      <c r="SR92" s="21"/>
      <c r="SS92" s="21"/>
      <c r="ST92" s="21"/>
      <c r="SU92" s="21"/>
      <c r="SV92" s="21"/>
      <c r="SW92" s="21"/>
      <c r="SX92" s="21"/>
      <c r="SY92" s="21"/>
      <c r="SZ92" s="21"/>
      <c r="TA92" s="21"/>
      <c r="TB92" s="21"/>
      <c r="TC92" s="21"/>
      <c r="TD92" s="21"/>
      <c r="TE92" s="21"/>
      <c r="TF92" s="21"/>
      <c r="TG92" s="21"/>
      <c r="TH92" s="21"/>
      <c r="TI92" s="21"/>
      <c r="TJ92" s="21"/>
      <c r="TK92" s="21"/>
      <c r="TL92" s="21"/>
      <c r="TM92" s="21"/>
      <c r="TN92" s="21"/>
      <c r="TO92" s="21"/>
      <c r="TP92" s="21"/>
      <c r="TQ92" s="21"/>
      <c r="TR92" s="21"/>
      <c r="TS92" s="21"/>
      <c r="TT92" s="21"/>
      <c r="TU92" s="21"/>
      <c r="TV92" s="21"/>
      <c r="TW92" s="21"/>
      <c r="TX92" s="21"/>
      <c r="TY92" s="21"/>
      <c r="TZ92" s="21"/>
      <c r="UA92" s="21"/>
      <c r="UB92" s="21"/>
      <c r="UC92" s="21"/>
      <c r="UD92" s="21"/>
      <c r="UE92" s="21"/>
      <c r="UF92" s="21"/>
      <c r="UG92" s="21"/>
      <c r="UH92" s="21"/>
      <c r="UI92" s="21"/>
      <c r="UJ92" s="21"/>
      <c r="UK92" s="21"/>
      <c r="UL92" s="21"/>
      <c r="UM92" s="21"/>
      <c r="UN92" s="21"/>
      <c r="UO92" s="21"/>
      <c r="UP92" s="21"/>
      <c r="UQ92" s="21"/>
      <c r="UR92" s="21"/>
      <c r="US92" s="21"/>
      <c r="UT92" s="21"/>
      <c r="UU92" s="21"/>
      <c r="UV92" s="21"/>
      <c r="UW92" s="21"/>
      <c r="UX92" s="21"/>
      <c r="UY92" s="21"/>
      <c r="UZ92" s="21"/>
      <c r="VA92" s="21"/>
      <c r="VB92" s="21"/>
      <c r="VC92" s="21"/>
      <c r="VD92" s="21"/>
      <c r="VE92" s="21"/>
      <c r="VF92" s="21"/>
      <c r="VG92" s="21"/>
      <c r="VH92" s="21"/>
      <c r="VI92" s="21"/>
      <c r="VJ92" s="21"/>
      <c r="VK92" s="21"/>
      <c r="VL92" s="21"/>
      <c r="VM92" s="21"/>
      <c r="VN92" s="21"/>
      <c r="VO92" s="21"/>
      <c r="VP92" s="21"/>
      <c r="VQ92" s="21"/>
      <c r="VR92" s="21"/>
      <c r="VS92" s="21"/>
      <c r="VT92" s="21"/>
      <c r="VU92" s="21"/>
      <c r="VV92" s="21"/>
      <c r="VW92" s="21"/>
      <c r="VX92" s="21"/>
      <c r="VY92" s="21"/>
      <c r="VZ92" s="21"/>
      <c r="WA92" s="21"/>
      <c r="WB92" s="21"/>
      <c r="WC92" s="21"/>
      <c r="WD92" s="21"/>
      <c r="WE92" s="21"/>
      <c r="WF92" s="21"/>
      <c r="WG92" s="21"/>
      <c r="WH92" s="21"/>
      <c r="WI92" s="21"/>
      <c r="WJ92" s="21"/>
      <c r="WK92" s="21"/>
      <c r="WL92" s="21"/>
      <c r="WM92" s="21"/>
      <c r="WN92" s="21"/>
      <c r="WO92" s="21"/>
      <c r="WP92" s="21"/>
      <c r="WQ92" s="21"/>
      <c r="WR92" s="21"/>
      <c r="WS92" s="21"/>
      <c r="WT92" s="21"/>
      <c r="WU92" s="21"/>
      <c r="WV92" s="21"/>
      <c r="WW92" s="21"/>
      <c r="WX92" s="21"/>
      <c r="WY92" s="21"/>
      <c r="WZ92" s="21"/>
      <c r="XA92" s="21"/>
      <c r="XB92" s="21"/>
      <c r="XC92" s="21"/>
      <c r="XD92" s="21"/>
      <c r="XE92" s="21"/>
      <c r="XF92" s="21"/>
      <c r="XG92" s="21"/>
      <c r="XH92" s="21"/>
      <c r="XI92" s="21"/>
      <c r="XJ92" s="21"/>
      <c r="XK92" s="21"/>
      <c r="XL92" s="21"/>
      <c r="XM92" s="21"/>
      <c r="XN92" s="21"/>
      <c r="XO92" s="21"/>
      <c r="XP92" s="21"/>
      <c r="XQ92" s="21"/>
      <c r="XR92" s="21"/>
      <c r="XS92" s="21"/>
      <c r="XT92" s="21"/>
      <c r="XU92" s="21"/>
      <c r="XV92" s="21"/>
      <c r="XW92" s="21"/>
      <c r="XX92" s="21"/>
      <c r="XY92" s="21"/>
      <c r="XZ92" s="21"/>
      <c r="YA92" s="21"/>
      <c r="YB92" s="21"/>
      <c r="YC92" s="21"/>
      <c r="YD92" s="21"/>
      <c r="YE92" s="21"/>
      <c r="YF92" s="21"/>
      <c r="YG92" s="21"/>
      <c r="YH92" s="21"/>
      <c r="YI92" s="21"/>
      <c r="YJ92" s="21"/>
      <c r="YK92" s="21"/>
      <c r="YL92" s="21"/>
      <c r="YM92" s="21"/>
      <c r="YN92" s="21"/>
      <c r="YO92" s="21"/>
      <c r="YP92" s="21"/>
      <c r="YQ92" s="21"/>
      <c r="YR92" s="21"/>
      <c r="YS92" s="21"/>
      <c r="YT92" s="21"/>
      <c r="YU92" s="21"/>
      <c r="YV92" s="21"/>
      <c r="YW92" s="21"/>
      <c r="YX92" s="21"/>
      <c r="YY92" s="21"/>
      <c r="YZ92" s="21"/>
      <c r="ZA92" s="21"/>
      <c r="ZB92" s="21"/>
      <c r="ZC92" s="21"/>
      <c r="ZD92" s="21"/>
      <c r="ZE92" s="21"/>
      <c r="ZF92" s="21"/>
      <c r="ZG92" s="21"/>
      <c r="ZH92" s="21"/>
      <c r="ZI92" s="21"/>
      <c r="ZJ92" s="21"/>
      <c r="ZK92" s="21"/>
      <c r="ZL92" s="21"/>
      <c r="ZM92" s="21"/>
      <c r="ZN92" s="21"/>
      <c r="ZO92" s="21"/>
      <c r="ZP92" s="21"/>
      <c r="ZQ92" s="21"/>
      <c r="ZR92" s="21"/>
      <c r="ZS92" s="21"/>
      <c r="ZT92" s="21"/>
      <c r="ZU92" s="21"/>
      <c r="ZV92" s="21"/>
      <c r="ZW92" s="21"/>
      <c r="ZX92" s="21"/>
      <c r="ZY92" s="21"/>
      <c r="ZZ92" s="21"/>
      <c r="AAA92" s="21"/>
      <c r="AAB92" s="21"/>
      <c r="AAC92" s="21"/>
      <c r="AAD92" s="21"/>
      <c r="AAE92" s="21"/>
      <c r="AAF92" s="21"/>
      <c r="AAG92" s="21"/>
      <c r="AAH92" s="21"/>
      <c r="AAI92" s="21"/>
      <c r="AAJ92" s="21"/>
      <c r="AAK92" s="21"/>
      <c r="AAL92" s="21"/>
      <c r="AAM92" s="21"/>
      <c r="AAN92" s="21"/>
      <c r="AAO92" s="21"/>
      <c r="AAP92" s="21"/>
      <c r="AAQ92" s="21"/>
      <c r="AAR92" s="21"/>
      <c r="AAS92" s="21"/>
      <c r="AAT92" s="21"/>
      <c r="AAU92" s="21"/>
      <c r="AAV92" s="21"/>
      <c r="AAW92" s="21"/>
      <c r="AAX92" s="21"/>
      <c r="AAY92" s="21"/>
      <c r="AAZ92" s="21"/>
      <c r="ABA92" s="21"/>
      <c r="ABB92" s="21"/>
      <c r="ABC92" s="21"/>
      <c r="ABD92" s="21"/>
      <c r="ABE92" s="21"/>
      <c r="ABF92" s="21"/>
      <c r="ABG92" s="21"/>
      <c r="ABH92" s="21"/>
      <c r="ABI92" s="21"/>
      <c r="ABJ92" s="21"/>
      <c r="ABK92" s="21"/>
      <c r="ABL92" s="21"/>
      <c r="ABM92" s="21"/>
      <c r="ABN92" s="21"/>
      <c r="ABO92" s="21"/>
      <c r="ABP92" s="21"/>
      <c r="ABQ92" s="21"/>
      <c r="ABR92" s="21"/>
      <c r="ABS92" s="21"/>
      <c r="ABT92" s="21"/>
      <c r="ABU92" s="21"/>
      <c r="ABV92" s="21"/>
      <c r="ABW92" s="21"/>
      <c r="ABX92" s="21"/>
      <c r="ABY92" s="21"/>
      <c r="ABZ92" s="21"/>
      <c r="ACA92" s="21"/>
      <c r="ACB92" s="21"/>
      <c r="ACC92" s="21"/>
      <c r="ACD92" s="21"/>
      <c r="ACE92" s="21"/>
      <c r="ACF92" s="21"/>
      <c r="ACG92" s="21"/>
      <c r="ACH92" s="21"/>
      <c r="ACI92" s="21"/>
      <c r="ACJ92" s="21"/>
      <c r="ACK92" s="21"/>
      <c r="ACL92" s="21"/>
      <c r="ACM92" s="21"/>
      <c r="ACN92" s="21"/>
      <c r="ACO92" s="21"/>
      <c r="ACP92" s="21"/>
      <c r="ACQ92" s="21"/>
      <c r="ACR92" s="21"/>
      <c r="ACS92" s="21"/>
      <c r="ACT92" s="21"/>
      <c r="ACU92" s="21"/>
      <c r="ACV92" s="21"/>
      <c r="ACW92" s="21"/>
      <c r="ACX92" s="21"/>
      <c r="ACY92" s="21"/>
      <c r="ACZ92" s="21"/>
      <c r="ADA92" s="21"/>
      <c r="ADB92" s="21"/>
      <c r="ADC92" s="21"/>
      <c r="ADD92" s="21"/>
      <c r="ADE92" s="21"/>
      <c r="ADF92" s="21"/>
      <c r="ADG92" s="21"/>
      <c r="ADH92" s="21"/>
      <c r="ADI92" s="21"/>
      <c r="ADJ92" s="21"/>
      <c r="ADK92" s="21"/>
      <c r="ADL92" s="21"/>
      <c r="ADM92" s="21"/>
      <c r="ADN92" s="21"/>
      <c r="ADO92" s="21"/>
      <c r="ADP92" s="21"/>
      <c r="ADQ92" s="21"/>
      <c r="ADR92" s="21"/>
      <c r="ADS92" s="21"/>
      <c r="ADT92" s="21"/>
      <c r="ADU92" s="21"/>
      <c r="ADV92" s="21"/>
      <c r="ADW92" s="21"/>
      <c r="ADX92" s="21"/>
      <c r="ADY92" s="21"/>
      <c r="ADZ92" s="21"/>
      <c r="AEA92" s="21"/>
      <c r="AEB92" s="21"/>
      <c r="AEC92" s="21"/>
      <c r="AED92" s="21"/>
      <c r="AEE92" s="21"/>
      <c r="AEF92" s="21"/>
      <c r="AEG92" s="21"/>
    </row>
    <row r="93" spans="1:813" s="93" customFormat="1" ht="75" x14ac:dyDescent="0.25">
      <c r="A93" s="179">
        <v>31</v>
      </c>
      <c r="B93" s="185" t="s">
        <v>297</v>
      </c>
      <c r="C93" s="38" t="s">
        <v>296</v>
      </c>
      <c r="D93" s="63" t="s">
        <v>295</v>
      </c>
      <c r="E93" s="36" t="s">
        <v>294</v>
      </c>
      <c r="F93" s="170">
        <v>60.4</v>
      </c>
      <c r="G93" s="168">
        <f>15/2</f>
        <v>7.5</v>
      </c>
      <c r="H93" s="168">
        <f>ROUND($F93*G93,-1)</f>
        <v>450</v>
      </c>
      <c r="I93" s="168">
        <f>8/2</f>
        <v>4</v>
      </c>
      <c r="J93" s="168">
        <f t="shared" si="22"/>
        <v>240</v>
      </c>
      <c r="K93" s="168">
        <f>21/2</f>
        <v>10.5</v>
      </c>
      <c r="L93" s="168">
        <f t="shared" si="23"/>
        <v>630</v>
      </c>
      <c r="M93" s="168">
        <f>11/2</f>
        <v>5.5</v>
      </c>
      <c r="N93" s="168">
        <f>ROUND($F93*M93,-1)</f>
        <v>330</v>
      </c>
      <c r="O93" s="168">
        <f>15/2</f>
        <v>7.5</v>
      </c>
      <c r="P93" s="168">
        <f t="shared" si="24"/>
        <v>450</v>
      </c>
      <c r="Q93" s="168">
        <f>12/2</f>
        <v>6</v>
      </c>
      <c r="R93" s="168">
        <f t="shared" si="25"/>
        <v>360</v>
      </c>
      <c r="S93" s="168">
        <f>10/2</f>
        <v>5</v>
      </c>
      <c r="T93" s="168">
        <f>ROUND($F93*S93,-1)</f>
        <v>300</v>
      </c>
      <c r="U93" s="168">
        <f>13/2</f>
        <v>6.5</v>
      </c>
      <c r="V93" s="168">
        <f t="shared" si="26"/>
        <v>390</v>
      </c>
      <c r="W93" s="168">
        <f>0</f>
        <v>0</v>
      </c>
      <c r="X93" s="168">
        <f t="shared" si="27"/>
        <v>0</v>
      </c>
      <c r="Y93" s="168">
        <f>7/2</f>
        <v>3.5</v>
      </c>
      <c r="Z93" s="168">
        <f t="shared" si="28"/>
        <v>210</v>
      </c>
      <c r="AA93" s="168">
        <f>3/2</f>
        <v>1.5</v>
      </c>
      <c r="AB93" s="168">
        <f t="shared" si="29"/>
        <v>90</v>
      </c>
      <c r="AC93" s="168">
        <f>6/2</f>
        <v>3</v>
      </c>
      <c r="AD93" s="168">
        <f t="shared" si="30"/>
        <v>180</v>
      </c>
      <c r="AE93" s="168"/>
      <c r="AF93" s="168">
        <f t="shared" si="31"/>
        <v>3630</v>
      </c>
      <c r="AG93" s="211">
        <v>13.5</v>
      </c>
      <c r="AH93" s="211">
        <f>121/2</f>
        <v>60.5</v>
      </c>
      <c r="AI93" s="175">
        <v>815</v>
      </c>
      <c r="AJ93" s="214">
        <v>244298.73030325258</v>
      </c>
      <c r="AK93" s="214">
        <v>19899.78426028274</v>
      </c>
      <c r="AL93" s="214">
        <v>264198.51456353534</v>
      </c>
      <c r="AM93" s="213" t="s">
        <v>18</v>
      </c>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c r="FL93" s="21"/>
      <c r="FM93" s="21"/>
      <c r="FN93" s="21"/>
      <c r="FO93" s="21"/>
      <c r="FP93" s="21"/>
      <c r="FQ93" s="21"/>
      <c r="FR93" s="21"/>
      <c r="FS93" s="21"/>
      <c r="FT93" s="21"/>
      <c r="FU93" s="21"/>
      <c r="FV93" s="21"/>
      <c r="FW93" s="21"/>
      <c r="FX93" s="21"/>
      <c r="FY93" s="21"/>
      <c r="FZ93" s="21"/>
      <c r="GA93" s="21"/>
      <c r="GB93" s="21"/>
      <c r="GC93" s="21"/>
      <c r="GD93" s="21"/>
      <c r="GE93" s="21"/>
      <c r="GF93" s="21"/>
      <c r="GG93" s="21"/>
      <c r="GH93" s="21"/>
      <c r="GI93" s="21"/>
      <c r="GJ93" s="21"/>
      <c r="GK93" s="21"/>
      <c r="GL93" s="21"/>
      <c r="GM93" s="21"/>
      <c r="GN93" s="21"/>
      <c r="GO93" s="21"/>
      <c r="GP93" s="21"/>
      <c r="GQ93" s="21"/>
      <c r="GR93" s="21"/>
      <c r="GS93" s="21"/>
      <c r="GT93" s="21"/>
      <c r="GU93" s="21"/>
      <c r="GV93" s="21"/>
      <c r="GW93" s="21"/>
      <c r="GX93" s="21"/>
      <c r="GY93" s="21"/>
      <c r="GZ93" s="21"/>
      <c r="HA93" s="21"/>
      <c r="HB93" s="21"/>
      <c r="HC93" s="21"/>
      <c r="HD93" s="21"/>
      <c r="HE93" s="21"/>
      <c r="HF93" s="21"/>
      <c r="HG93" s="21"/>
      <c r="HH93" s="21"/>
      <c r="HI93" s="21"/>
      <c r="HJ93" s="21"/>
      <c r="HK93" s="21"/>
      <c r="HL93" s="21"/>
      <c r="HM93" s="21"/>
      <c r="HN93" s="21"/>
      <c r="HO93" s="21"/>
      <c r="HP93" s="21"/>
      <c r="HQ93" s="21"/>
      <c r="HR93" s="21"/>
      <c r="HS93" s="21"/>
      <c r="HT93" s="21"/>
      <c r="HU93" s="21"/>
      <c r="HV93" s="21"/>
      <c r="HW93" s="21"/>
      <c r="HX93" s="21"/>
      <c r="HY93" s="21"/>
      <c r="HZ93" s="21"/>
      <c r="IA93" s="21"/>
      <c r="IB93" s="21"/>
      <c r="IC93" s="21"/>
      <c r="ID93" s="21"/>
      <c r="IE93" s="21"/>
      <c r="IF93" s="21"/>
      <c r="IG93" s="21"/>
      <c r="IH93" s="21"/>
      <c r="II93" s="21"/>
      <c r="IJ93" s="21"/>
      <c r="IK93" s="21"/>
      <c r="IL93" s="21"/>
      <c r="IM93" s="21"/>
      <c r="IN93" s="21"/>
      <c r="IO93" s="21"/>
      <c r="IP93" s="21"/>
      <c r="IQ93" s="21"/>
      <c r="IR93" s="21"/>
      <c r="IS93" s="21"/>
      <c r="IT93" s="21"/>
      <c r="IU93" s="21"/>
      <c r="IV93" s="21"/>
      <c r="IW93" s="21"/>
      <c r="IX93" s="21"/>
      <c r="IY93" s="21"/>
      <c r="IZ93" s="21"/>
      <c r="JA93" s="21"/>
      <c r="JB93" s="21"/>
      <c r="JC93" s="21"/>
      <c r="JD93" s="21"/>
      <c r="JE93" s="21"/>
      <c r="JF93" s="21"/>
      <c r="JG93" s="21"/>
      <c r="JH93" s="21"/>
      <c r="JI93" s="21"/>
      <c r="JJ93" s="21"/>
      <c r="JK93" s="21"/>
      <c r="JL93" s="21"/>
      <c r="JM93" s="21"/>
      <c r="JN93" s="21"/>
      <c r="JO93" s="21"/>
      <c r="JP93" s="21"/>
      <c r="JQ93" s="21"/>
      <c r="JR93" s="21"/>
      <c r="JS93" s="21"/>
      <c r="JT93" s="21"/>
      <c r="JU93" s="21"/>
      <c r="JV93" s="21"/>
      <c r="JW93" s="21"/>
      <c r="JX93" s="21"/>
      <c r="JY93" s="21"/>
      <c r="JZ93" s="21"/>
      <c r="KA93" s="21"/>
      <c r="KB93" s="21"/>
      <c r="KC93" s="21"/>
      <c r="KD93" s="21"/>
      <c r="KE93" s="21"/>
      <c r="KF93" s="21"/>
      <c r="KG93" s="21"/>
      <c r="KH93" s="21"/>
      <c r="KI93" s="21"/>
      <c r="KJ93" s="21"/>
      <c r="KK93" s="21"/>
      <c r="KL93" s="21"/>
      <c r="KM93" s="21"/>
      <c r="KN93" s="21"/>
      <c r="KO93" s="21"/>
      <c r="KP93" s="21"/>
      <c r="KQ93" s="21"/>
      <c r="KR93" s="21"/>
      <c r="KS93" s="21"/>
      <c r="KT93" s="21"/>
      <c r="KU93" s="21"/>
      <c r="KV93" s="21"/>
      <c r="KW93" s="21"/>
      <c r="KX93" s="21"/>
      <c r="KY93" s="21"/>
      <c r="KZ93" s="21"/>
      <c r="LA93" s="21"/>
      <c r="LB93" s="21"/>
      <c r="LC93" s="21"/>
      <c r="LD93" s="21"/>
      <c r="LE93" s="21"/>
      <c r="LF93" s="21"/>
      <c r="LG93" s="21"/>
      <c r="LH93" s="21"/>
      <c r="LI93" s="21"/>
      <c r="LJ93" s="21"/>
      <c r="LK93" s="21"/>
      <c r="LL93" s="21"/>
      <c r="LM93" s="21"/>
      <c r="LN93" s="21"/>
      <c r="LO93" s="21"/>
      <c r="LP93" s="21"/>
      <c r="LQ93" s="21"/>
      <c r="LR93" s="21"/>
      <c r="LS93" s="21"/>
      <c r="LT93" s="21"/>
      <c r="LU93" s="21"/>
      <c r="LV93" s="21"/>
      <c r="LW93" s="21"/>
      <c r="LX93" s="21"/>
      <c r="LY93" s="21"/>
      <c r="LZ93" s="21"/>
      <c r="MA93" s="21"/>
      <c r="MB93" s="21"/>
      <c r="MC93" s="21"/>
      <c r="MD93" s="21"/>
      <c r="ME93" s="21"/>
      <c r="MF93" s="21"/>
      <c r="MG93" s="21"/>
      <c r="MH93" s="21"/>
      <c r="MI93" s="21"/>
      <c r="MJ93" s="21"/>
      <c r="MK93" s="21"/>
      <c r="ML93" s="21"/>
      <c r="MM93" s="21"/>
      <c r="MN93" s="21"/>
      <c r="MO93" s="21"/>
      <c r="MP93" s="21"/>
      <c r="MQ93" s="21"/>
      <c r="MR93" s="21"/>
      <c r="MS93" s="21"/>
      <c r="MT93" s="21"/>
      <c r="MU93" s="21"/>
      <c r="MV93" s="21"/>
      <c r="MW93" s="21"/>
      <c r="MX93" s="21"/>
      <c r="MY93" s="21"/>
      <c r="MZ93" s="21"/>
      <c r="NA93" s="21"/>
      <c r="NB93" s="21"/>
      <c r="NC93" s="21"/>
      <c r="ND93" s="21"/>
      <c r="NE93" s="21"/>
      <c r="NF93" s="21"/>
      <c r="NG93" s="21"/>
      <c r="NH93" s="21"/>
      <c r="NI93" s="21"/>
      <c r="NJ93" s="21"/>
      <c r="NK93" s="21"/>
      <c r="NL93" s="21"/>
      <c r="NM93" s="21"/>
      <c r="NN93" s="21"/>
      <c r="NO93" s="21"/>
      <c r="NP93" s="21"/>
      <c r="NQ93" s="21"/>
      <c r="NR93" s="21"/>
      <c r="NS93" s="21"/>
      <c r="NT93" s="21"/>
      <c r="NU93" s="21"/>
      <c r="NV93" s="21"/>
      <c r="NW93" s="21"/>
      <c r="NX93" s="21"/>
      <c r="NY93" s="21"/>
      <c r="NZ93" s="21"/>
      <c r="OA93" s="21"/>
      <c r="OB93" s="21"/>
      <c r="OC93" s="21"/>
      <c r="OD93" s="21"/>
      <c r="OE93" s="21"/>
      <c r="OF93" s="21"/>
      <c r="OG93" s="21"/>
      <c r="OH93" s="21"/>
      <c r="OI93" s="21"/>
      <c r="OJ93" s="21"/>
      <c r="OK93" s="21"/>
      <c r="OL93" s="21"/>
      <c r="OM93" s="21"/>
      <c r="ON93" s="21"/>
      <c r="OO93" s="21"/>
      <c r="OP93" s="21"/>
      <c r="OQ93" s="21"/>
      <c r="OR93" s="21"/>
      <c r="OS93" s="21"/>
      <c r="OT93" s="21"/>
      <c r="OU93" s="21"/>
      <c r="OV93" s="21"/>
      <c r="OW93" s="21"/>
      <c r="OX93" s="21"/>
      <c r="OY93" s="21"/>
      <c r="OZ93" s="21"/>
      <c r="PA93" s="21"/>
      <c r="PB93" s="21"/>
      <c r="PC93" s="21"/>
      <c r="PD93" s="21"/>
      <c r="PE93" s="21"/>
      <c r="PF93" s="21"/>
      <c r="PG93" s="21"/>
      <c r="PH93" s="21"/>
      <c r="PI93" s="21"/>
      <c r="PJ93" s="21"/>
      <c r="PK93" s="21"/>
      <c r="PL93" s="21"/>
      <c r="PM93" s="21"/>
      <c r="PN93" s="21"/>
      <c r="PO93" s="21"/>
      <c r="PP93" s="21"/>
      <c r="PQ93" s="21"/>
      <c r="PR93" s="21"/>
      <c r="PS93" s="21"/>
      <c r="PT93" s="21"/>
      <c r="PU93" s="21"/>
      <c r="PV93" s="21"/>
      <c r="PW93" s="21"/>
      <c r="PX93" s="21"/>
      <c r="PY93" s="21"/>
      <c r="PZ93" s="21"/>
      <c r="QA93" s="21"/>
      <c r="QB93" s="21"/>
      <c r="QC93" s="21"/>
      <c r="QD93" s="21"/>
      <c r="QE93" s="21"/>
      <c r="QF93" s="21"/>
      <c r="QG93" s="21"/>
      <c r="QH93" s="21"/>
      <c r="QI93" s="21"/>
      <c r="QJ93" s="21"/>
      <c r="QK93" s="21"/>
      <c r="QL93" s="21"/>
      <c r="QM93" s="21"/>
      <c r="QN93" s="21"/>
      <c r="QO93" s="21"/>
      <c r="QP93" s="21"/>
      <c r="QQ93" s="21"/>
      <c r="QR93" s="21"/>
      <c r="QS93" s="21"/>
      <c r="QT93" s="21"/>
      <c r="QU93" s="21"/>
      <c r="QV93" s="21"/>
      <c r="QW93" s="21"/>
      <c r="QX93" s="21"/>
      <c r="QY93" s="21"/>
      <c r="QZ93" s="21"/>
      <c r="RA93" s="21"/>
      <c r="RB93" s="21"/>
      <c r="RC93" s="21"/>
      <c r="RD93" s="21"/>
      <c r="RE93" s="21"/>
      <c r="RF93" s="21"/>
      <c r="RG93" s="21"/>
      <c r="RH93" s="21"/>
      <c r="RI93" s="21"/>
      <c r="RJ93" s="21"/>
      <c r="RK93" s="21"/>
      <c r="RL93" s="21"/>
      <c r="RM93" s="21"/>
      <c r="RN93" s="21"/>
      <c r="RO93" s="21"/>
      <c r="RP93" s="21"/>
      <c r="RQ93" s="21"/>
      <c r="RR93" s="21"/>
      <c r="RS93" s="21"/>
      <c r="RT93" s="21"/>
      <c r="RU93" s="21"/>
      <c r="RV93" s="21"/>
      <c r="RW93" s="21"/>
      <c r="RX93" s="21"/>
      <c r="RY93" s="21"/>
      <c r="RZ93" s="21"/>
      <c r="SA93" s="21"/>
      <c r="SB93" s="21"/>
      <c r="SC93" s="21"/>
      <c r="SD93" s="21"/>
      <c r="SE93" s="21"/>
      <c r="SF93" s="21"/>
      <c r="SG93" s="21"/>
      <c r="SH93" s="21"/>
      <c r="SI93" s="21"/>
      <c r="SJ93" s="21"/>
      <c r="SK93" s="21"/>
      <c r="SL93" s="21"/>
      <c r="SM93" s="21"/>
      <c r="SN93" s="21"/>
      <c r="SO93" s="21"/>
      <c r="SP93" s="21"/>
      <c r="SQ93" s="21"/>
      <c r="SR93" s="21"/>
      <c r="SS93" s="21"/>
      <c r="ST93" s="21"/>
      <c r="SU93" s="21"/>
      <c r="SV93" s="21"/>
      <c r="SW93" s="21"/>
      <c r="SX93" s="21"/>
      <c r="SY93" s="21"/>
      <c r="SZ93" s="21"/>
      <c r="TA93" s="21"/>
      <c r="TB93" s="21"/>
      <c r="TC93" s="21"/>
      <c r="TD93" s="21"/>
      <c r="TE93" s="21"/>
      <c r="TF93" s="21"/>
      <c r="TG93" s="21"/>
      <c r="TH93" s="21"/>
      <c r="TI93" s="21"/>
      <c r="TJ93" s="21"/>
      <c r="TK93" s="21"/>
      <c r="TL93" s="21"/>
      <c r="TM93" s="21"/>
      <c r="TN93" s="21"/>
      <c r="TO93" s="21"/>
      <c r="TP93" s="21"/>
      <c r="TQ93" s="21"/>
      <c r="TR93" s="21"/>
      <c r="TS93" s="21"/>
      <c r="TT93" s="21"/>
      <c r="TU93" s="21"/>
      <c r="TV93" s="21"/>
      <c r="TW93" s="21"/>
      <c r="TX93" s="21"/>
      <c r="TY93" s="21"/>
      <c r="TZ93" s="21"/>
      <c r="UA93" s="21"/>
      <c r="UB93" s="21"/>
      <c r="UC93" s="21"/>
      <c r="UD93" s="21"/>
      <c r="UE93" s="21"/>
      <c r="UF93" s="21"/>
      <c r="UG93" s="21"/>
      <c r="UH93" s="21"/>
      <c r="UI93" s="21"/>
      <c r="UJ93" s="21"/>
      <c r="UK93" s="21"/>
      <c r="UL93" s="21"/>
      <c r="UM93" s="21"/>
      <c r="UN93" s="21"/>
      <c r="UO93" s="21"/>
      <c r="UP93" s="21"/>
      <c r="UQ93" s="21"/>
      <c r="UR93" s="21"/>
      <c r="US93" s="21"/>
      <c r="UT93" s="21"/>
      <c r="UU93" s="21"/>
      <c r="UV93" s="21"/>
      <c r="UW93" s="21"/>
      <c r="UX93" s="21"/>
      <c r="UY93" s="21"/>
      <c r="UZ93" s="21"/>
      <c r="VA93" s="21"/>
      <c r="VB93" s="21"/>
      <c r="VC93" s="21"/>
      <c r="VD93" s="21"/>
      <c r="VE93" s="21"/>
      <c r="VF93" s="21"/>
      <c r="VG93" s="21"/>
      <c r="VH93" s="21"/>
      <c r="VI93" s="21"/>
      <c r="VJ93" s="21"/>
      <c r="VK93" s="21"/>
      <c r="VL93" s="21"/>
      <c r="VM93" s="21"/>
      <c r="VN93" s="21"/>
      <c r="VO93" s="21"/>
      <c r="VP93" s="21"/>
      <c r="VQ93" s="21"/>
      <c r="VR93" s="21"/>
      <c r="VS93" s="21"/>
      <c r="VT93" s="21"/>
      <c r="VU93" s="21"/>
      <c r="VV93" s="21"/>
      <c r="VW93" s="21"/>
      <c r="VX93" s="21"/>
      <c r="VY93" s="21"/>
      <c r="VZ93" s="21"/>
      <c r="WA93" s="21"/>
      <c r="WB93" s="21"/>
      <c r="WC93" s="21"/>
      <c r="WD93" s="21"/>
      <c r="WE93" s="21"/>
      <c r="WF93" s="21"/>
      <c r="WG93" s="21"/>
      <c r="WH93" s="21"/>
      <c r="WI93" s="21"/>
      <c r="WJ93" s="21"/>
      <c r="WK93" s="21"/>
      <c r="WL93" s="21"/>
      <c r="WM93" s="21"/>
      <c r="WN93" s="21"/>
      <c r="WO93" s="21"/>
      <c r="WP93" s="21"/>
      <c r="WQ93" s="21"/>
      <c r="WR93" s="21"/>
      <c r="WS93" s="21"/>
      <c r="WT93" s="21"/>
      <c r="WU93" s="21"/>
      <c r="WV93" s="21"/>
      <c r="WW93" s="21"/>
      <c r="WX93" s="21"/>
      <c r="WY93" s="21"/>
      <c r="WZ93" s="21"/>
      <c r="XA93" s="21"/>
      <c r="XB93" s="21"/>
      <c r="XC93" s="21"/>
      <c r="XD93" s="21"/>
      <c r="XE93" s="21"/>
      <c r="XF93" s="21"/>
      <c r="XG93" s="21"/>
      <c r="XH93" s="21"/>
      <c r="XI93" s="21"/>
      <c r="XJ93" s="21"/>
      <c r="XK93" s="21"/>
      <c r="XL93" s="21"/>
      <c r="XM93" s="21"/>
      <c r="XN93" s="21"/>
      <c r="XO93" s="21"/>
      <c r="XP93" s="21"/>
      <c r="XQ93" s="21"/>
      <c r="XR93" s="21"/>
      <c r="XS93" s="21"/>
      <c r="XT93" s="21"/>
      <c r="XU93" s="21"/>
      <c r="XV93" s="21"/>
      <c r="XW93" s="21"/>
      <c r="XX93" s="21"/>
      <c r="XY93" s="21"/>
      <c r="XZ93" s="21"/>
      <c r="YA93" s="21"/>
      <c r="YB93" s="21"/>
      <c r="YC93" s="21"/>
      <c r="YD93" s="21"/>
      <c r="YE93" s="21"/>
      <c r="YF93" s="21"/>
      <c r="YG93" s="21"/>
      <c r="YH93" s="21"/>
      <c r="YI93" s="21"/>
      <c r="YJ93" s="21"/>
      <c r="YK93" s="21"/>
      <c r="YL93" s="21"/>
      <c r="YM93" s="21"/>
      <c r="YN93" s="21"/>
      <c r="YO93" s="21"/>
      <c r="YP93" s="21"/>
      <c r="YQ93" s="21"/>
      <c r="YR93" s="21"/>
      <c r="YS93" s="21"/>
      <c r="YT93" s="21"/>
      <c r="YU93" s="21"/>
      <c r="YV93" s="21"/>
      <c r="YW93" s="21"/>
      <c r="YX93" s="21"/>
      <c r="YY93" s="21"/>
      <c r="YZ93" s="21"/>
      <c r="ZA93" s="21"/>
      <c r="ZB93" s="21"/>
      <c r="ZC93" s="21"/>
      <c r="ZD93" s="21"/>
      <c r="ZE93" s="21"/>
      <c r="ZF93" s="21"/>
      <c r="ZG93" s="21"/>
      <c r="ZH93" s="21"/>
      <c r="ZI93" s="21"/>
      <c r="ZJ93" s="21"/>
      <c r="ZK93" s="21"/>
      <c r="ZL93" s="21"/>
      <c r="ZM93" s="21"/>
      <c r="ZN93" s="21"/>
      <c r="ZO93" s="21"/>
      <c r="ZP93" s="21"/>
      <c r="ZQ93" s="21"/>
      <c r="ZR93" s="21"/>
      <c r="ZS93" s="21"/>
      <c r="ZT93" s="21"/>
      <c r="ZU93" s="21"/>
      <c r="ZV93" s="21"/>
      <c r="ZW93" s="21"/>
      <c r="ZX93" s="21"/>
      <c r="ZY93" s="21"/>
      <c r="ZZ93" s="21"/>
      <c r="AAA93" s="21"/>
      <c r="AAB93" s="21"/>
      <c r="AAC93" s="21"/>
      <c r="AAD93" s="21"/>
      <c r="AAE93" s="21"/>
      <c r="AAF93" s="21"/>
      <c r="AAG93" s="21"/>
      <c r="AAH93" s="21"/>
      <c r="AAI93" s="21"/>
      <c r="AAJ93" s="21"/>
      <c r="AAK93" s="21"/>
      <c r="AAL93" s="21"/>
      <c r="AAM93" s="21"/>
      <c r="AAN93" s="21"/>
      <c r="AAO93" s="21"/>
      <c r="AAP93" s="21"/>
      <c r="AAQ93" s="21"/>
      <c r="AAR93" s="21"/>
      <c r="AAS93" s="21"/>
      <c r="AAT93" s="21"/>
      <c r="AAU93" s="21"/>
      <c r="AAV93" s="21"/>
      <c r="AAW93" s="21"/>
      <c r="AAX93" s="21"/>
      <c r="AAY93" s="21"/>
      <c r="AAZ93" s="21"/>
      <c r="ABA93" s="21"/>
      <c r="ABB93" s="21"/>
      <c r="ABC93" s="21"/>
      <c r="ABD93" s="21"/>
      <c r="ABE93" s="21"/>
      <c r="ABF93" s="21"/>
      <c r="ABG93" s="21"/>
      <c r="ABH93" s="21"/>
      <c r="ABI93" s="21"/>
      <c r="ABJ93" s="21"/>
      <c r="ABK93" s="21"/>
      <c r="ABL93" s="21"/>
      <c r="ABM93" s="21"/>
      <c r="ABN93" s="21"/>
      <c r="ABO93" s="21"/>
      <c r="ABP93" s="21"/>
      <c r="ABQ93" s="21"/>
      <c r="ABR93" s="21"/>
      <c r="ABS93" s="21"/>
      <c r="ABT93" s="21"/>
      <c r="ABU93" s="21"/>
      <c r="ABV93" s="21"/>
      <c r="ABW93" s="21"/>
      <c r="ABX93" s="21"/>
      <c r="ABY93" s="21"/>
      <c r="ABZ93" s="21"/>
      <c r="ACA93" s="21"/>
      <c r="ACB93" s="21"/>
      <c r="ACC93" s="21"/>
      <c r="ACD93" s="21"/>
      <c r="ACE93" s="21"/>
      <c r="ACF93" s="21"/>
      <c r="ACG93" s="21"/>
      <c r="ACH93" s="21"/>
      <c r="ACI93" s="21"/>
      <c r="ACJ93" s="21"/>
      <c r="ACK93" s="21"/>
      <c r="ACL93" s="21"/>
      <c r="ACM93" s="21"/>
      <c r="ACN93" s="21"/>
      <c r="ACO93" s="21"/>
      <c r="ACP93" s="21"/>
      <c r="ACQ93" s="21"/>
      <c r="ACR93" s="21"/>
      <c r="ACS93" s="21"/>
      <c r="ACT93" s="21"/>
      <c r="ACU93" s="21"/>
      <c r="ACV93" s="21"/>
      <c r="ACW93" s="21"/>
      <c r="ACX93" s="21"/>
      <c r="ACY93" s="21"/>
      <c r="ACZ93" s="21"/>
      <c r="ADA93" s="21"/>
      <c r="ADB93" s="21"/>
      <c r="ADC93" s="21"/>
      <c r="ADD93" s="21"/>
      <c r="ADE93" s="21"/>
      <c r="ADF93" s="21"/>
      <c r="ADG93" s="21"/>
      <c r="ADH93" s="21"/>
      <c r="ADI93" s="21"/>
      <c r="ADJ93" s="21"/>
      <c r="ADK93" s="21"/>
      <c r="ADL93" s="21"/>
      <c r="ADM93" s="21"/>
      <c r="ADN93" s="21"/>
      <c r="ADO93" s="21"/>
      <c r="ADP93" s="21"/>
      <c r="ADQ93" s="21"/>
      <c r="ADR93" s="21"/>
      <c r="ADS93" s="21"/>
      <c r="ADT93" s="21"/>
      <c r="ADU93" s="21"/>
      <c r="ADV93" s="21"/>
      <c r="ADW93" s="21"/>
      <c r="ADX93" s="21"/>
      <c r="ADY93" s="21"/>
      <c r="ADZ93" s="21"/>
      <c r="AEA93" s="21"/>
      <c r="AEB93" s="21"/>
      <c r="AEC93" s="21"/>
      <c r="AED93" s="21"/>
      <c r="AEE93" s="21"/>
      <c r="AEF93" s="21"/>
      <c r="AEG93" s="21"/>
    </row>
    <row r="94" spans="1:813" s="93" customFormat="1" ht="90" x14ac:dyDescent="0.25">
      <c r="A94" s="179"/>
      <c r="B94" s="185"/>
      <c r="C94" s="38" t="s">
        <v>293</v>
      </c>
      <c r="D94" s="63" t="s">
        <v>292</v>
      </c>
      <c r="E94" s="36" t="s">
        <v>291</v>
      </c>
      <c r="F94" s="169"/>
      <c r="G94" s="169"/>
      <c r="H94" s="169"/>
      <c r="I94" s="169"/>
      <c r="J94" s="169">
        <f t="shared" si="22"/>
        <v>0</v>
      </c>
      <c r="K94" s="169"/>
      <c r="L94" s="169">
        <f t="shared" si="23"/>
        <v>0</v>
      </c>
      <c r="M94" s="169"/>
      <c r="N94" s="169">
        <f>ROUND($F94*M94,-1)</f>
        <v>0</v>
      </c>
      <c r="O94" s="169"/>
      <c r="P94" s="169">
        <f t="shared" si="24"/>
        <v>0</v>
      </c>
      <c r="Q94" s="169"/>
      <c r="R94" s="169">
        <f t="shared" si="25"/>
        <v>0</v>
      </c>
      <c r="S94" s="169"/>
      <c r="T94" s="169">
        <f>ROUND($F94*S94,-1)</f>
        <v>0</v>
      </c>
      <c r="U94" s="169"/>
      <c r="V94" s="169">
        <f t="shared" si="26"/>
        <v>0</v>
      </c>
      <c r="W94" s="169"/>
      <c r="X94" s="169">
        <f t="shared" si="27"/>
        <v>0</v>
      </c>
      <c r="Y94" s="169"/>
      <c r="Z94" s="169">
        <f t="shared" si="28"/>
        <v>0</v>
      </c>
      <c r="AA94" s="169"/>
      <c r="AB94" s="169">
        <f t="shared" si="29"/>
        <v>0</v>
      </c>
      <c r="AC94" s="169"/>
      <c r="AD94" s="169">
        <f t="shared" si="30"/>
        <v>0</v>
      </c>
      <c r="AE94" s="169"/>
      <c r="AF94" s="169">
        <f t="shared" si="31"/>
        <v>0</v>
      </c>
      <c r="AG94" s="212"/>
      <c r="AH94" s="212"/>
      <c r="AI94" s="175"/>
      <c r="AJ94" s="214"/>
      <c r="AK94" s="214"/>
      <c r="AL94" s="214"/>
      <c r="AM94" s="213" t="s">
        <v>290</v>
      </c>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c r="FL94" s="21"/>
      <c r="FM94" s="21"/>
      <c r="FN94" s="21"/>
      <c r="FO94" s="21"/>
      <c r="FP94" s="21"/>
      <c r="FQ94" s="21"/>
      <c r="FR94" s="21"/>
      <c r="FS94" s="21"/>
      <c r="FT94" s="21"/>
      <c r="FU94" s="21"/>
      <c r="FV94" s="21"/>
      <c r="FW94" s="21"/>
      <c r="FX94" s="21"/>
      <c r="FY94" s="21"/>
      <c r="FZ94" s="21"/>
      <c r="GA94" s="21"/>
      <c r="GB94" s="21"/>
      <c r="GC94" s="21"/>
      <c r="GD94" s="21"/>
      <c r="GE94" s="21"/>
      <c r="GF94" s="21"/>
      <c r="GG94" s="21"/>
      <c r="GH94" s="21"/>
      <c r="GI94" s="21"/>
      <c r="GJ94" s="21"/>
      <c r="GK94" s="21"/>
      <c r="GL94" s="21"/>
      <c r="GM94" s="21"/>
      <c r="GN94" s="21"/>
      <c r="GO94" s="21"/>
      <c r="GP94" s="21"/>
      <c r="GQ94" s="21"/>
      <c r="GR94" s="21"/>
      <c r="GS94" s="21"/>
      <c r="GT94" s="21"/>
      <c r="GU94" s="21"/>
      <c r="GV94" s="21"/>
      <c r="GW94" s="21"/>
      <c r="GX94" s="21"/>
      <c r="GY94" s="21"/>
      <c r="GZ94" s="21"/>
      <c r="HA94" s="21"/>
      <c r="HB94" s="21"/>
      <c r="HC94" s="21"/>
      <c r="HD94" s="21"/>
      <c r="HE94" s="21"/>
      <c r="HF94" s="21"/>
      <c r="HG94" s="21"/>
      <c r="HH94" s="21"/>
      <c r="HI94" s="21"/>
      <c r="HJ94" s="21"/>
      <c r="HK94" s="21"/>
      <c r="HL94" s="21"/>
      <c r="HM94" s="21"/>
      <c r="HN94" s="21"/>
      <c r="HO94" s="21"/>
      <c r="HP94" s="21"/>
      <c r="HQ94" s="21"/>
      <c r="HR94" s="21"/>
      <c r="HS94" s="21"/>
      <c r="HT94" s="21"/>
      <c r="HU94" s="21"/>
      <c r="HV94" s="21"/>
      <c r="HW94" s="21"/>
      <c r="HX94" s="21"/>
      <c r="HY94" s="21"/>
      <c r="HZ94" s="21"/>
      <c r="IA94" s="21"/>
      <c r="IB94" s="21"/>
      <c r="IC94" s="21"/>
      <c r="ID94" s="21"/>
      <c r="IE94" s="21"/>
      <c r="IF94" s="21"/>
      <c r="IG94" s="21"/>
      <c r="IH94" s="21"/>
      <c r="II94" s="21"/>
      <c r="IJ94" s="21"/>
      <c r="IK94" s="21"/>
      <c r="IL94" s="21"/>
      <c r="IM94" s="21"/>
      <c r="IN94" s="21"/>
      <c r="IO94" s="21"/>
      <c r="IP94" s="21"/>
      <c r="IQ94" s="21"/>
      <c r="IR94" s="21"/>
      <c r="IS94" s="21"/>
      <c r="IT94" s="21"/>
      <c r="IU94" s="21"/>
      <c r="IV94" s="21"/>
      <c r="IW94" s="21"/>
      <c r="IX94" s="21"/>
      <c r="IY94" s="21"/>
      <c r="IZ94" s="21"/>
      <c r="JA94" s="21"/>
      <c r="JB94" s="21"/>
      <c r="JC94" s="21"/>
      <c r="JD94" s="21"/>
      <c r="JE94" s="21"/>
      <c r="JF94" s="21"/>
      <c r="JG94" s="21"/>
      <c r="JH94" s="21"/>
      <c r="JI94" s="21"/>
      <c r="JJ94" s="21"/>
      <c r="JK94" s="21"/>
      <c r="JL94" s="21"/>
      <c r="JM94" s="21"/>
      <c r="JN94" s="21"/>
      <c r="JO94" s="21"/>
      <c r="JP94" s="21"/>
      <c r="JQ94" s="21"/>
      <c r="JR94" s="21"/>
      <c r="JS94" s="21"/>
      <c r="JT94" s="21"/>
      <c r="JU94" s="21"/>
      <c r="JV94" s="21"/>
      <c r="JW94" s="21"/>
      <c r="JX94" s="21"/>
      <c r="JY94" s="21"/>
      <c r="JZ94" s="21"/>
      <c r="KA94" s="21"/>
      <c r="KB94" s="21"/>
      <c r="KC94" s="21"/>
      <c r="KD94" s="21"/>
      <c r="KE94" s="21"/>
      <c r="KF94" s="21"/>
      <c r="KG94" s="21"/>
      <c r="KH94" s="21"/>
      <c r="KI94" s="21"/>
      <c r="KJ94" s="21"/>
      <c r="KK94" s="21"/>
      <c r="KL94" s="21"/>
      <c r="KM94" s="21"/>
      <c r="KN94" s="21"/>
      <c r="KO94" s="21"/>
      <c r="KP94" s="21"/>
      <c r="KQ94" s="21"/>
      <c r="KR94" s="21"/>
      <c r="KS94" s="21"/>
      <c r="KT94" s="21"/>
      <c r="KU94" s="21"/>
      <c r="KV94" s="21"/>
      <c r="KW94" s="21"/>
      <c r="KX94" s="21"/>
      <c r="KY94" s="21"/>
      <c r="KZ94" s="21"/>
      <c r="LA94" s="21"/>
      <c r="LB94" s="21"/>
      <c r="LC94" s="21"/>
      <c r="LD94" s="21"/>
      <c r="LE94" s="21"/>
      <c r="LF94" s="21"/>
      <c r="LG94" s="21"/>
      <c r="LH94" s="21"/>
      <c r="LI94" s="21"/>
      <c r="LJ94" s="21"/>
      <c r="LK94" s="21"/>
      <c r="LL94" s="21"/>
      <c r="LM94" s="21"/>
      <c r="LN94" s="21"/>
      <c r="LO94" s="21"/>
      <c r="LP94" s="21"/>
      <c r="LQ94" s="21"/>
      <c r="LR94" s="21"/>
      <c r="LS94" s="21"/>
      <c r="LT94" s="21"/>
      <c r="LU94" s="21"/>
      <c r="LV94" s="21"/>
      <c r="LW94" s="21"/>
      <c r="LX94" s="21"/>
      <c r="LY94" s="21"/>
      <c r="LZ94" s="21"/>
      <c r="MA94" s="21"/>
      <c r="MB94" s="21"/>
      <c r="MC94" s="21"/>
      <c r="MD94" s="21"/>
      <c r="ME94" s="21"/>
      <c r="MF94" s="21"/>
      <c r="MG94" s="21"/>
      <c r="MH94" s="21"/>
      <c r="MI94" s="21"/>
      <c r="MJ94" s="21"/>
      <c r="MK94" s="21"/>
      <c r="ML94" s="21"/>
      <c r="MM94" s="21"/>
      <c r="MN94" s="21"/>
      <c r="MO94" s="21"/>
      <c r="MP94" s="21"/>
      <c r="MQ94" s="21"/>
      <c r="MR94" s="21"/>
      <c r="MS94" s="21"/>
      <c r="MT94" s="21"/>
      <c r="MU94" s="21"/>
      <c r="MV94" s="21"/>
      <c r="MW94" s="21"/>
      <c r="MX94" s="21"/>
      <c r="MY94" s="21"/>
      <c r="MZ94" s="21"/>
      <c r="NA94" s="21"/>
      <c r="NB94" s="21"/>
      <c r="NC94" s="21"/>
      <c r="ND94" s="21"/>
      <c r="NE94" s="21"/>
      <c r="NF94" s="21"/>
      <c r="NG94" s="21"/>
      <c r="NH94" s="21"/>
      <c r="NI94" s="21"/>
      <c r="NJ94" s="21"/>
      <c r="NK94" s="21"/>
      <c r="NL94" s="21"/>
      <c r="NM94" s="21"/>
      <c r="NN94" s="21"/>
      <c r="NO94" s="21"/>
      <c r="NP94" s="21"/>
      <c r="NQ94" s="21"/>
      <c r="NR94" s="21"/>
      <c r="NS94" s="21"/>
      <c r="NT94" s="21"/>
      <c r="NU94" s="21"/>
      <c r="NV94" s="21"/>
      <c r="NW94" s="21"/>
      <c r="NX94" s="21"/>
      <c r="NY94" s="21"/>
      <c r="NZ94" s="21"/>
      <c r="OA94" s="21"/>
      <c r="OB94" s="21"/>
      <c r="OC94" s="21"/>
      <c r="OD94" s="21"/>
      <c r="OE94" s="21"/>
      <c r="OF94" s="21"/>
      <c r="OG94" s="21"/>
      <c r="OH94" s="21"/>
      <c r="OI94" s="21"/>
      <c r="OJ94" s="21"/>
      <c r="OK94" s="21"/>
      <c r="OL94" s="21"/>
      <c r="OM94" s="21"/>
      <c r="ON94" s="21"/>
      <c r="OO94" s="21"/>
      <c r="OP94" s="21"/>
      <c r="OQ94" s="21"/>
      <c r="OR94" s="21"/>
      <c r="OS94" s="21"/>
      <c r="OT94" s="21"/>
      <c r="OU94" s="21"/>
      <c r="OV94" s="21"/>
      <c r="OW94" s="21"/>
      <c r="OX94" s="21"/>
      <c r="OY94" s="21"/>
      <c r="OZ94" s="21"/>
      <c r="PA94" s="21"/>
      <c r="PB94" s="21"/>
      <c r="PC94" s="21"/>
      <c r="PD94" s="21"/>
      <c r="PE94" s="21"/>
      <c r="PF94" s="21"/>
      <c r="PG94" s="21"/>
      <c r="PH94" s="21"/>
      <c r="PI94" s="21"/>
      <c r="PJ94" s="21"/>
      <c r="PK94" s="21"/>
      <c r="PL94" s="21"/>
      <c r="PM94" s="21"/>
      <c r="PN94" s="21"/>
      <c r="PO94" s="21"/>
      <c r="PP94" s="21"/>
      <c r="PQ94" s="21"/>
      <c r="PR94" s="21"/>
      <c r="PS94" s="21"/>
      <c r="PT94" s="21"/>
      <c r="PU94" s="21"/>
      <c r="PV94" s="21"/>
      <c r="PW94" s="21"/>
      <c r="PX94" s="21"/>
      <c r="PY94" s="21"/>
      <c r="PZ94" s="21"/>
      <c r="QA94" s="21"/>
      <c r="QB94" s="21"/>
      <c r="QC94" s="21"/>
      <c r="QD94" s="21"/>
      <c r="QE94" s="21"/>
      <c r="QF94" s="21"/>
      <c r="QG94" s="21"/>
      <c r="QH94" s="21"/>
      <c r="QI94" s="21"/>
      <c r="QJ94" s="21"/>
      <c r="QK94" s="21"/>
      <c r="QL94" s="21"/>
      <c r="QM94" s="21"/>
      <c r="QN94" s="21"/>
      <c r="QO94" s="21"/>
      <c r="QP94" s="21"/>
      <c r="QQ94" s="21"/>
      <c r="QR94" s="21"/>
      <c r="QS94" s="21"/>
      <c r="QT94" s="21"/>
      <c r="QU94" s="21"/>
      <c r="QV94" s="21"/>
      <c r="QW94" s="21"/>
      <c r="QX94" s="21"/>
      <c r="QY94" s="21"/>
      <c r="QZ94" s="21"/>
      <c r="RA94" s="21"/>
      <c r="RB94" s="21"/>
      <c r="RC94" s="21"/>
      <c r="RD94" s="21"/>
      <c r="RE94" s="21"/>
      <c r="RF94" s="21"/>
      <c r="RG94" s="21"/>
      <c r="RH94" s="21"/>
      <c r="RI94" s="21"/>
      <c r="RJ94" s="21"/>
      <c r="RK94" s="21"/>
      <c r="RL94" s="21"/>
      <c r="RM94" s="21"/>
      <c r="RN94" s="21"/>
      <c r="RO94" s="21"/>
      <c r="RP94" s="21"/>
      <c r="RQ94" s="21"/>
      <c r="RR94" s="21"/>
      <c r="RS94" s="21"/>
      <c r="RT94" s="21"/>
      <c r="RU94" s="21"/>
      <c r="RV94" s="21"/>
      <c r="RW94" s="21"/>
      <c r="RX94" s="21"/>
      <c r="RY94" s="21"/>
      <c r="RZ94" s="21"/>
      <c r="SA94" s="21"/>
      <c r="SB94" s="21"/>
      <c r="SC94" s="21"/>
      <c r="SD94" s="21"/>
      <c r="SE94" s="21"/>
      <c r="SF94" s="21"/>
      <c r="SG94" s="21"/>
      <c r="SH94" s="21"/>
      <c r="SI94" s="21"/>
      <c r="SJ94" s="21"/>
      <c r="SK94" s="21"/>
      <c r="SL94" s="21"/>
      <c r="SM94" s="21"/>
      <c r="SN94" s="21"/>
      <c r="SO94" s="21"/>
      <c r="SP94" s="21"/>
      <c r="SQ94" s="21"/>
      <c r="SR94" s="21"/>
      <c r="SS94" s="21"/>
      <c r="ST94" s="21"/>
      <c r="SU94" s="21"/>
      <c r="SV94" s="21"/>
      <c r="SW94" s="21"/>
      <c r="SX94" s="21"/>
      <c r="SY94" s="21"/>
      <c r="SZ94" s="21"/>
      <c r="TA94" s="21"/>
      <c r="TB94" s="21"/>
      <c r="TC94" s="21"/>
      <c r="TD94" s="21"/>
      <c r="TE94" s="21"/>
      <c r="TF94" s="21"/>
      <c r="TG94" s="21"/>
      <c r="TH94" s="21"/>
      <c r="TI94" s="21"/>
      <c r="TJ94" s="21"/>
      <c r="TK94" s="21"/>
      <c r="TL94" s="21"/>
      <c r="TM94" s="21"/>
      <c r="TN94" s="21"/>
      <c r="TO94" s="21"/>
      <c r="TP94" s="21"/>
      <c r="TQ94" s="21"/>
      <c r="TR94" s="21"/>
      <c r="TS94" s="21"/>
      <c r="TT94" s="21"/>
      <c r="TU94" s="21"/>
      <c r="TV94" s="21"/>
      <c r="TW94" s="21"/>
      <c r="TX94" s="21"/>
      <c r="TY94" s="21"/>
      <c r="TZ94" s="21"/>
      <c r="UA94" s="21"/>
      <c r="UB94" s="21"/>
      <c r="UC94" s="21"/>
      <c r="UD94" s="21"/>
      <c r="UE94" s="21"/>
      <c r="UF94" s="21"/>
      <c r="UG94" s="21"/>
      <c r="UH94" s="21"/>
      <c r="UI94" s="21"/>
      <c r="UJ94" s="21"/>
      <c r="UK94" s="21"/>
      <c r="UL94" s="21"/>
      <c r="UM94" s="21"/>
      <c r="UN94" s="21"/>
      <c r="UO94" s="21"/>
      <c r="UP94" s="21"/>
      <c r="UQ94" s="21"/>
      <c r="UR94" s="21"/>
      <c r="US94" s="21"/>
      <c r="UT94" s="21"/>
      <c r="UU94" s="21"/>
      <c r="UV94" s="21"/>
      <c r="UW94" s="21"/>
      <c r="UX94" s="21"/>
      <c r="UY94" s="21"/>
      <c r="UZ94" s="21"/>
      <c r="VA94" s="21"/>
      <c r="VB94" s="21"/>
      <c r="VC94" s="21"/>
      <c r="VD94" s="21"/>
      <c r="VE94" s="21"/>
      <c r="VF94" s="21"/>
      <c r="VG94" s="21"/>
      <c r="VH94" s="21"/>
      <c r="VI94" s="21"/>
      <c r="VJ94" s="21"/>
      <c r="VK94" s="21"/>
      <c r="VL94" s="21"/>
      <c r="VM94" s="21"/>
      <c r="VN94" s="21"/>
      <c r="VO94" s="21"/>
      <c r="VP94" s="21"/>
      <c r="VQ94" s="21"/>
      <c r="VR94" s="21"/>
      <c r="VS94" s="21"/>
      <c r="VT94" s="21"/>
      <c r="VU94" s="21"/>
      <c r="VV94" s="21"/>
      <c r="VW94" s="21"/>
      <c r="VX94" s="21"/>
      <c r="VY94" s="21"/>
      <c r="VZ94" s="21"/>
      <c r="WA94" s="21"/>
      <c r="WB94" s="21"/>
      <c r="WC94" s="21"/>
      <c r="WD94" s="21"/>
      <c r="WE94" s="21"/>
      <c r="WF94" s="21"/>
      <c r="WG94" s="21"/>
      <c r="WH94" s="21"/>
      <c r="WI94" s="21"/>
      <c r="WJ94" s="21"/>
      <c r="WK94" s="21"/>
      <c r="WL94" s="21"/>
      <c r="WM94" s="21"/>
      <c r="WN94" s="21"/>
      <c r="WO94" s="21"/>
      <c r="WP94" s="21"/>
      <c r="WQ94" s="21"/>
      <c r="WR94" s="21"/>
      <c r="WS94" s="21"/>
      <c r="WT94" s="21"/>
      <c r="WU94" s="21"/>
      <c r="WV94" s="21"/>
      <c r="WW94" s="21"/>
      <c r="WX94" s="21"/>
      <c r="WY94" s="21"/>
      <c r="WZ94" s="21"/>
      <c r="XA94" s="21"/>
      <c r="XB94" s="21"/>
      <c r="XC94" s="21"/>
      <c r="XD94" s="21"/>
      <c r="XE94" s="21"/>
      <c r="XF94" s="21"/>
      <c r="XG94" s="21"/>
      <c r="XH94" s="21"/>
      <c r="XI94" s="21"/>
      <c r="XJ94" s="21"/>
      <c r="XK94" s="21"/>
      <c r="XL94" s="21"/>
      <c r="XM94" s="21"/>
      <c r="XN94" s="21"/>
      <c r="XO94" s="21"/>
      <c r="XP94" s="21"/>
      <c r="XQ94" s="21"/>
      <c r="XR94" s="21"/>
      <c r="XS94" s="21"/>
      <c r="XT94" s="21"/>
      <c r="XU94" s="21"/>
      <c r="XV94" s="21"/>
      <c r="XW94" s="21"/>
      <c r="XX94" s="21"/>
      <c r="XY94" s="21"/>
      <c r="XZ94" s="21"/>
      <c r="YA94" s="21"/>
      <c r="YB94" s="21"/>
      <c r="YC94" s="21"/>
      <c r="YD94" s="21"/>
      <c r="YE94" s="21"/>
      <c r="YF94" s="21"/>
      <c r="YG94" s="21"/>
      <c r="YH94" s="21"/>
      <c r="YI94" s="21"/>
      <c r="YJ94" s="21"/>
      <c r="YK94" s="21"/>
      <c r="YL94" s="21"/>
      <c r="YM94" s="21"/>
      <c r="YN94" s="21"/>
      <c r="YO94" s="21"/>
      <c r="YP94" s="21"/>
      <c r="YQ94" s="21"/>
      <c r="YR94" s="21"/>
      <c r="YS94" s="21"/>
      <c r="YT94" s="21"/>
      <c r="YU94" s="21"/>
      <c r="YV94" s="21"/>
      <c r="YW94" s="21"/>
      <c r="YX94" s="21"/>
      <c r="YY94" s="21"/>
      <c r="YZ94" s="21"/>
      <c r="ZA94" s="21"/>
      <c r="ZB94" s="21"/>
      <c r="ZC94" s="21"/>
      <c r="ZD94" s="21"/>
      <c r="ZE94" s="21"/>
      <c r="ZF94" s="21"/>
      <c r="ZG94" s="21"/>
      <c r="ZH94" s="21"/>
      <c r="ZI94" s="21"/>
      <c r="ZJ94" s="21"/>
      <c r="ZK94" s="21"/>
      <c r="ZL94" s="21"/>
      <c r="ZM94" s="21"/>
      <c r="ZN94" s="21"/>
      <c r="ZO94" s="21"/>
      <c r="ZP94" s="21"/>
      <c r="ZQ94" s="21"/>
      <c r="ZR94" s="21"/>
      <c r="ZS94" s="21"/>
      <c r="ZT94" s="21"/>
      <c r="ZU94" s="21"/>
      <c r="ZV94" s="21"/>
      <c r="ZW94" s="21"/>
      <c r="ZX94" s="21"/>
      <c r="ZY94" s="21"/>
      <c r="ZZ94" s="21"/>
      <c r="AAA94" s="21"/>
      <c r="AAB94" s="21"/>
      <c r="AAC94" s="21"/>
      <c r="AAD94" s="21"/>
      <c r="AAE94" s="21"/>
      <c r="AAF94" s="21"/>
      <c r="AAG94" s="21"/>
      <c r="AAH94" s="21"/>
      <c r="AAI94" s="21"/>
      <c r="AAJ94" s="21"/>
      <c r="AAK94" s="21"/>
      <c r="AAL94" s="21"/>
      <c r="AAM94" s="21"/>
      <c r="AAN94" s="21"/>
      <c r="AAO94" s="21"/>
      <c r="AAP94" s="21"/>
      <c r="AAQ94" s="21"/>
      <c r="AAR94" s="21"/>
      <c r="AAS94" s="21"/>
      <c r="AAT94" s="21"/>
      <c r="AAU94" s="21"/>
      <c r="AAV94" s="21"/>
      <c r="AAW94" s="21"/>
      <c r="AAX94" s="21"/>
      <c r="AAY94" s="21"/>
      <c r="AAZ94" s="21"/>
      <c r="ABA94" s="21"/>
      <c r="ABB94" s="21"/>
      <c r="ABC94" s="21"/>
      <c r="ABD94" s="21"/>
      <c r="ABE94" s="21"/>
      <c r="ABF94" s="21"/>
      <c r="ABG94" s="21"/>
      <c r="ABH94" s="21"/>
      <c r="ABI94" s="21"/>
      <c r="ABJ94" s="21"/>
      <c r="ABK94" s="21"/>
      <c r="ABL94" s="21"/>
      <c r="ABM94" s="21"/>
      <c r="ABN94" s="21"/>
      <c r="ABO94" s="21"/>
      <c r="ABP94" s="21"/>
      <c r="ABQ94" s="21"/>
      <c r="ABR94" s="21"/>
      <c r="ABS94" s="21"/>
      <c r="ABT94" s="21"/>
      <c r="ABU94" s="21"/>
      <c r="ABV94" s="21"/>
      <c r="ABW94" s="21"/>
      <c r="ABX94" s="21"/>
      <c r="ABY94" s="21"/>
      <c r="ABZ94" s="21"/>
      <c r="ACA94" s="21"/>
      <c r="ACB94" s="21"/>
      <c r="ACC94" s="21"/>
      <c r="ACD94" s="21"/>
      <c r="ACE94" s="21"/>
      <c r="ACF94" s="21"/>
      <c r="ACG94" s="21"/>
      <c r="ACH94" s="21"/>
      <c r="ACI94" s="21"/>
      <c r="ACJ94" s="21"/>
      <c r="ACK94" s="21"/>
      <c r="ACL94" s="21"/>
      <c r="ACM94" s="21"/>
      <c r="ACN94" s="21"/>
      <c r="ACO94" s="21"/>
      <c r="ACP94" s="21"/>
      <c r="ACQ94" s="21"/>
      <c r="ACR94" s="21"/>
      <c r="ACS94" s="21"/>
      <c r="ACT94" s="21"/>
      <c r="ACU94" s="21"/>
      <c r="ACV94" s="21"/>
      <c r="ACW94" s="21"/>
      <c r="ACX94" s="21"/>
      <c r="ACY94" s="21"/>
      <c r="ACZ94" s="21"/>
      <c r="ADA94" s="21"/>
      <c r="ADB94" s="21"/>
      <c r="ADC94" s="21"/>
      <c r="ADD94" s="21"/>
      <c r="ADE94" s="21"/>
      <c r="ADF94" s="21"/>
      <c r="ADG94" s="21"/>
      <c r="ADH94" s="21"/>
      <c r="ADI94" s="21"/>
      <c r="ADJ94" s="21"/>
      <c r="ADK94" s="21"/>
      <c r="ADL94" s="21"/>
      <c r="ADM94" s="21"/>
      <c r="ADN94" s="21"/>
      <c r="ADO94" s="21"/>
      <c r="ADP94" s="21"/>
      <c r="ADQ94" s="21"/>
      <c r="ADR94" s="21"/>
      <c r="ADS94" s="21"/>
      <c r="ADT94" s="21"/>
      <c r="ADU94" s="21"/>
      <c r="ADV94" s="21"/>
      <c r="ADW94" s="21"/>
      <c r="ADX94" s="21"/>
      <c r="ADY94" s="21"/>
      <c r="ADZ94" s="21"/>
      <c r="AEA94" s="21"/>
      <c r="AEB94" s="21"/>
      <c r="AEC94" s="21"/>
      <c r="AED94" s="21"/>
      <c r="AEE94" s="21"/>
      <c r="AEF94" s="21"/>
      <c r="AEG94" s="21"/>
    </row>
    <row r="95" spans="1:813" s="93" customFormat="1" ht="75" x14ac:dyDescent="0.25">
      <c r="A95" s="91">
        <v>32</v>
      </c>
      <c r="B95" s="63" t="s">
        <v>289</v>
      </c>
      <c r="C95" s="38" t="s">
        <v>288</v>
      </c>
      <c r="D95" s="63" t="s">
        <v>287</v>
      </c>
      <c r="E95" s="36" t="s">
        <v>286</v>
      </c>
      <c r="F95" s="111">
        <v>28.8</v>
      </c>
      <c r="G95" s="32">
        <f>43/2</f>
        <v>21.5</v>
      </c>
      <c r="H95" s="33">
        <f>ROUND($F95*G95,-1)</f>
        <v>620</v>
      </c>
      <c r="I95" s="32">
        <f>27/2</f>
        <v>13.5</v>
      </c>
      <c r="J95" s="33">
        <f t="shared" si="22"/>
        <v>390</v>
      </c>
      <c r="K95" s="32">
        <f>129/2</f>
        <v>64.5</v>
      </c>
      <c r="L95" s="33">
        <f t="shared" si="23"/>
        <v>1860</v>
      </c>
      <c r="M95" s="32">
        <f>286/2</f>
        <v>143</v>
      </c>
      <c r="N95" s="33">
        <f>ROUND($F95*M95,-1)</f>
        <v>4120</v>
      </c>
      <c r="O95" s="32">
        <f>50/2</f>
        <v>25</v>
      </c>
      <c r="P95" s="33">
        <f t="shared" si="24"/>
        <v>720</v>
      </c>
      <c r="Q95" s="32">
        <f>167/2</f>
        <v>83.5</v>
      </c>
      <c r="R95" s="33">
        <f t="shared" si="25"/>
        <v>2400</v>
      </c>
      <c r="S95" s="32">
        <f>191/2</f>
        <v>95.5</v>
      </c>
      <c r="T95" s="33">
        <f>ROUND($F95*S95,-1)</f>
        <v>2750</v>
      </c>
      <c r="U95" s="32">
        <f>66/2</f>
        <v>33</v>
      </c>
      <c r="V95" s="33">
        <f t="shared" si="26"/>
        <v>950</v>
      </c>
      <c r="W95" s="32">
        <f>17/2</f>
        <v>8.5</v>
      </c>
      <c r="X95" s="33">
        <f t="shared" si="27"/>
        <v>240</v>
      </c>
      <c r="Y95" s="32">
        <f>132/2</f>
        <v>66</v>
      </c>
      <c r="Z95" s="33">
        <f t="shared" si="28"/>
        <v>1900</v>
      </c>
      <c r="AA95" s="32">
        <f>61/2</f>
        <v>30.5</v>
      </c>
      <c r="AB95" s="33">
        <f t="shared" si="29"/>
        <v>880</v>
      </c>
      <c r="AC95" s="32">
        <f>59/2</f>
        <v>29.5</v>
      </c>
      <c r="AD95" s="33">
        <f t="shared" si="30"/>
        <v>850</v>
      </c>
      <c r="AE95" s="32"/>
      <c r="AF95" s="33">
        <f t="shared" si="31"/>
        <v>17680</v>
      </c>
      <c r="AG95" s="33">
        <v>14</v>
      </c>
      <c r="AH95" s="33">
        <f>1259/2</f>
        <v>629.5</v>
      </c>
      <c r="AI95" s="32">
        <v>8815</v>
      </c>
      <c r="AJ95" s="31">
        <v>1647778.9368873076</v>
      </c>
      <c r="AK95" s="31">
        <v>134222.74160816177</v>
      </c>
      <c r="AL95" s="31">
        <v>1782001.6784954693</v>
      </c>
      <c r="AM95" s="30" t="s">
        <v>18</v>
      </c>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c r="FL95" s="21"/>
      <c r="FM95" s="21"/>
      <c r="FN95" s="21"/>
      <c r="FO95" s="21"/>
      <c r="FP95" s="21"/>
      <c r="FQ95" s="21"/>
      <c r="FR95" s="21"/>
      <c r="FS95" s="21"/>
      <c r="FT95" s="21"/>
      <c r="FU95" s="21"/>
      <c r="FV95" s="21"/>
      <c r="FW95" s="21"/>
      <c r="FX95" s="21"/>
      <c r="FY95" s="21"/>
      <c r="FZ95" s="21"/>
      <c r="GA95" s="21"/>
      <c r="GB95" s="21"/>
      <c r="GC95" s="21"/>
      <c r="GD95" s="21"/>
      <c r="GE95" s="21"/>
      <c r="GF95" s="21"/>
      <c r="GG95" s="21"/>
      <c r="GH95" s="21"/>
      <c r="GI95" s="21"/>
      <c r="GJ95" s="21"/>
      <c r="GK95" s="21"/>
      <c r="GL95" s="21"/>
      <c r="GM95" s="21"/>
      <c r="GN95" s="21"/>
      <c r="GO95" s="21"/>
      <c r="GP95" s="21"/>
      <c r="GQ95" s="21"/>
      <c r="GR95" s="21"/>
      <c r="GS95" s="21"/>
      <c r="GT95" s="21"/>
      <c r="GU95" s="21"/>
      <c r="GV95" s="21"/>
      <c r="GW95" s="21"/>
      <c r="GX95" s="21"/>
      <c r="GY95" s="21"/>
      <c r="GZ95" s="21"/>
      <c r="HA95" s="21"/>
      <c r="HB95" s="21"/>
      <c r="HC95" s="21"/>
      <c r="HD95" s="21"/>
      <c r="HE95" s="21"/>
      <c r="HF95" s="21"/>
      <c r="HG95" s="21"/>
      <c r="HH95" s="21"/>
      <c r="HI95" s="21"/>
      <c r="HJ95" s="21"/>
      <c r="HK95" s="21"/>
      <c r="HL95" s="21"/>
      <c r="HM95" s="21"/>
      <c r="HN95" s="21"/>
      <c r="HO95" s="21"/>
      <c r="HP95" s="21"/>
      <c r="HQ95" s="21"/>
      <c r="HR95" s="21"/>
      <c r="HS95" s="21"/>
      <c r="HT95" s="21"/>
      <c r="HU95" s="21"/>
      <c r="HV95" s="21"/>
      <c r="HW95" s="21"/>
      <c r="HX95" s="21"/>
      <c r="HY95" s="21"/>
      <c r="HZ95" s="21"/>
      <c r="IA95" s="21"/>
      <c r="IB95" s="21"/>
      <c r="IC95" s="21"/>
      <c r="ID95" s="21"/>
      <c r="IE95" s="21"/>
      <c r="IF95" s="21"/>
      <c r="IG95" s="21"/>
      <c r="IH95" s="21"/>
      <c r="II95" s="21"/>
      <c r="IJ95" s="21"/>
      <c r="IK95" s="21"/>
      <c r="IL95" s="21"/>
      <c r="IM95" s="21"/>
      <c r="IN95" s="21"/>
      <c r="IO95" s="21"/>
      <c r="IP95" s="21"/>
      <c r="IQ95" s="21"/>
      <c r="IR95" s="21"/>
      <c r="IS95" s="21"/>
      <c r="IT95" s="21"/>
      <c r="IU95" s="21"/>
      <c r="IV95" s="21"/>
      <c r="IW95" s="21"/>
      <c r="IX95" s="21"/>
      <c r="IY95" s="21"/>
      <c r="IZ95" s="21"/>
      <c r="JA95" s="21"/>
      <c r="JB95" s="21"/>
      <c r="JC95" s="21"/>
      <c r="JD95" s="21"/>
      <c r="JE95" s="21"/>
      <c r="JF95" s="21"/>
      <c r="JG95" s="21"/>
      <c r="JH95" s="21"/>
      <c r="JI95" s="21"/>
      <c r="JJ95" s="21"/>
      <c r="JK95" s="21"/>
      <c r="JL95" s="21"/>
      <c r="JM95" s="21"/>
      <c r="JN95" s="21"/>
      <c r="JO95" s="21"/>
      <c r="JP95" s="21"/>
      <c r="JQ95" s="21"/>
      <c r="JR95" s="21"/>
      <c r="JS95" s="21"/>
      <c r="JT95" s="21"/>
      <c r="JU95" s="21"/>
      <c r="JV95" s="21"/>
      <c r="JW95" s="21"/>
      <c r="JX95" s="21"/>
      <c r="JY95" s="21"/>
      <c r="JZ95" s="21"/>
      <c r="KA95" s="21"/>
      <c r="KB95" s="21"/>
      <c r="KC95" s="21"/>
      <c r="KD95" s="21"/>
      <c r="KE95" s="21"/>
      <c r="KF95" s="21"/>
      <c r="KG95" s="21"/>
      <c r="KH95" s="21"/>
      <c r="KI95" s="21"/>
      <c r="KJ95" s="21"/>
      <c r="KK95" s="21"/>
      <c r="KL95" s="21"/>
      <c r="KM95" s="21"/>
      <c r="KN95" s="21"/>
      <c r="KO95" s="21"/>
      <c r="KP95" s="21"/>
      <c r="KQ95" s="21"/>
      <c r="KR95" s="21"/>
      <c r="KS95" s="21"/>
      <c r="KT95" s="21"/>
      <c r="KU95" s="21"/>
      <c r="KV95" s="21"/>
      <c r="KW95" s="21"/>
      <c r="KX95" s="21"/>
      <c r="KY95" s="21"/>
      <c r="KZ95" s="21"/>
      <c r="LA95" s="21"/>
      <c r="LB95" s="21"/>
      <c r="LC95" s="21"/>
      <c r="LD95" s="21"/>
      <c r="LE95" s="21"/>
      <c r="LF95" s="21"/>
      <c r="LG95" s="21"/>
      <c r="LH95" s="21"/>
      <c r="LI95" s="21"/>
      <c r="LJ95" s="21"/>
      <c r="LK95" s="21"/>
      <c r="LL95" s="21"/>
      <c r="LM95" s="21"/>
      <c r="LN95" s="21"/>
      <c r="LO95" s="21"/>
      <c r="LP95" s="21"/>
      <c r="LQ95" s="21"/>
      <c r="LR95" s="21"/>
      <c r="LS95" s="21"/>
      <c r="LT95" s="21"/>
      <c r="LU95" s="21"/>
      <c r="LV95" s="21"/>
      <c r="LW95" s="21"/>
      <c r="LX95" s="21"/>
      <c r="LY95" s="21"/>
      <c r="LZ95" s="21"/>
      <c r="MA95" s="21"/>
      <c r="MB95" s="21"/>
      <c r="MC95" s="21"/>
      <c r="MD95" s="21"/>
      <c r="ME95" s="21"/>
      <c r="MF95" s="21"/>
      <c r="MG95" s="21"/>
      <c r="MH95" s="21"/>
      <c r="MI95" s="21"/>
      <c r="MJ95" s="21"/>
      <c r="MK95" s="21"/>
      <c r="ML95" s="21"/>
      <c r="MM95" s="21"/>
      <c r="MN95" s="21"/>
      <c r="MO95" s="21"/>
      <c r="MP95" s="21"/>
      <c r="MQ95" s="21"/>
      <c r="MR95" s="21"/>
      <c r="MS95" s="21"/>
      <c r="MT95" s="21"/>
      <c r="MU95" s="21"/>
      <c r="MV95" s="21"/>
      <c r="MW95" s="21"/>
      <c r="MX95" s="21"/>
      <c r="MY95" s="21"/>
      <c r="MZ95" s="21"/>
      <c r="NA95" s="21"/>
      <c r="NB95" s="21"/>
      <c r="NC95" s="21"/>
      <c r="ND95" s="21"/>
      <c r="NE95" s="21"/>
      <c r="NF95" s="21"/>
      <c r="NG95" s="21"/>
      <c r="NH95" s="21"/>
      <c r="NI95" s="21"/>
      <c r="NJ95" s="21"/>
      <c r="NK95" s="21"/>
      <c r="NL95" s="21"/>
      <c r="NM95" s="21"/>
      <c r="NN95" s="21"/>
      <c r="NO95" s="21"/>
      <c r="NP95" s="21"/>
      <c r="NQ95" s="21"/>
      <c r="NR95" s="21"/>
      <c r="NS95" s="21"/>
      <c r="NT95" s="21"/>
      <c r="NU95" s="21"/>
      <c r="NV95" s="21"/>
      <c r="NW95" s="21"/>
      <c r="NX95" s="21"/>
      <c r="NY95" s="21"/>
      <c r="NZ95" s="21"/>
      <c r="OA95" s="21"/>
      <c r="OB95" s="21"/>
      <c r="OC95" s="21"/>
      <c r="OD95" s="21"/>
      <c r="OE95" s="21"/>
      <c r="OF95" s="21"/>
      <c r="OG95" s="21"/>
      <c r="OH95" s="21"/>
      <c r="OI95" s="21"/>
      <c r="OJ95" s="21"/>
      <c r="OK95" s="21"/>
      <c r="OL95" s="21"/>
      <c r="OM95" s="21"/>
      <c r="ON95" s="21"/>
      <c r="OO95" s="21"/>
      <c r="OP95" s="21"/>
      <c r="OQ95" s="21"/>
      <c r="OR95" s="21"/>
      <c r="OS95" s="21"/>
      <c r="OT95" s="21"/>
      <c r="OU95" s="21"/>
      <c r="OV95" s="21"/>
      <c r="OW95" s="21"/>
      <c r="OX95" s="21"/>
      <c r="OY95" s="21"/>
      <c r="OZ95" s="21"/>
      <c r="PA95" s="21"/>
      <c r="PB95" s="21"/>
      <c r="PC95" s="21"/>
      <c r="PD95" s="21"/>
      <c r="PE95" s="21"/>
      <c r="PF95" s="21"/>
      <c r="PG95" s="21"/>
      <c r="PH95" s="21"/>
      <c r="PI95" s="21"/>
      <c r="PJ95" s="21"/>
      <c r="PK95" s="21"/>
      <c r="PL95" s="21"/>
      <c r="PM95" s="21"/>
      <c r="PN95" s="21"/>
      <c r="PO95" s="21"/>
      <c r="PP95" s="21"/>
      <c r="PQ95" s="21"/>
      <c r="PR95" s="21"/>
      <c r="PS95" s="21"/>
      <c r="PT95" s="21"/>
      <c r="PU95" s="21"/>
      <c r="PV95" s="21"/>
      <c r="PW95" s="21"/>
      <c r="PX95" s="21"/>
      <c r="PY95" s="21"/>
      <c r="PZ95" s="21"/>
      <c r="QA95" s="21"/>
      <c r="QB95" s="21"/>
      <c r="QC95" s="21"/>
      <c r="QD95" s="21"/>
      <c r="QE95" s="21"/>
      <c r="QF95" s="21"/>
      <c r="QG95" s="21"/>
      <c r="QH95" s="21"/>
      <c r="QI95" s="21"/>
      <c r="QJ95" s="21"/>
      <c r="QK95" s="21"/>
      <c r="QL95" s="21"/>
      <c r="QM95" s="21"/>
      <c r="QN95" s="21"/>
      <c r="QO95" s="21"/>
      <c r="QP95" s="21"/>
      <c r="QQ95" s="21"/>
      <c r="QR95" s="21"/>
      <c r="QS95" s="21"/>
      <c r="QT95" s="21"/>
      <c r="QU95" s="21"/>
      <c r="QV95" s="21"/>
      <c r="QW95" s="21"/>
      <c r="QX95" s="21"/>
      <c r="QY95" s="21"/>
      <c r="QZ95" s="21"/>
      <c r="RA95" s="21"/>
      <c r="RB95" s="21"/>
      <c r="RC95" s="21"/>
      <c r="RD95" s="21"/>
      <c r="RE95" s="21"/>
      <c r="RF95" s="21"/>
      <c r="RG95" s="21"/>
      <c r="RH95" s="21"/>
      <c r="RI95" s="21"/>
      <c r="RJ95" s="21"/>
      <c r="RK95" s="21"/>
      <c r="RL95" s="21"/>
      <c r="RM95" s="21"/>
      <c r="RN95" s="21"/>
      <c r="RO95" s="21"/>
      <c r="RP95" s="21"/>
      <c r="RQ95" s="21"/>
      <c r="RR95" s="21"/>
      <c r="RS95" s="21"/>
      <c r="RT95" s="21"/>
      <c r="RU95" s="21"/>
      <c r="RV95" s="21"/>
      <c r="RW95" s="21"/>
      <c r="RX95" s="21"/>
      <c r="RY95" s="21"/>
      <c r="RZ95" s="21"/>
      <c r="SA95" s="21"/>
      <c r="SB95" s="21"/>
      <c r="SC95" s="21"/>
      <c r="SD95" s="21"/>
      <c r="SE95" s="21"/>
      <c r="SF95" s="21"/>
      <c r="SG95" s="21"/>
      <c r="SH95" s="21"/>
      <c r="SI95" s="21"/>
      <c r="SJ95" s="21"/>
      <c r="SK95" s="21"/>
      <c r="SL95" s="21"/>
      <c r="SM95" s="21"/>
      <c r="SN95" s="21"/>
      <c r="SO95" s="21"/>
      <c r="SP95" s="21"/>
      <c r="SQ95" s="21"/>
      <c r="SR95" s="21"/>
      <c r="SS95" s="21"/>
      <c r="ST95" s="21"/>
      <c r="SU95" s="21"/>
      <c r="SV95" s="21"/>
      <c r="SW95" s="21"/>
      <c r="SX95" s="21"/>
      <c r="SY95" s="21"/>
      <c r="SZ95" s="21"/>
      <c r="TA95" s="21"/>
      <c r="TB95" s="21"/>
      <c r="TC95" s="21"/>
      <c r="TD95" s="21"/>
      <c r="TE95" s="21"/>
      <c r="TF95" s="21"/>
      <c r="TG95" s="21"/>
      <c r="TH95" s="21"/>
      <c r="TI95" s="21"/>
      <c r="TJ95" s="21"/>
      <c r="TK95" s="21"/>
      <c r="TL95" s="21"/>
      <c r="TM95" s="21"/>
      <c r="TN95" s="21"/>
      <c r="TO95" s="21"/>
      <c r="TP95" s="21"/>
      <c r="TQ95" s="21"/>
      <c r="TR95" s="21"/>
      <c r="TS95" s="21"/>
      <c r="TT95" s="21"/>
      <c r="TU95" s="21"/>
      <c r="TV95" s="21"/>
      <c r="TW95" s="21"/>
      <c r="TX95" s="21"/>
      <c r="TY95" s="21"/>
      <c r="TZ95" s="21"/>
      <c r="UA95" s="21"/>
      <c r="UB95" s="21"/>
      <c r="UC95" s="21"/>
      <c r="UD95" s="21"/>
      <c r="UE95" s="21"/>
      <c r="UF95" s="21"/>
      <c r="UG95" s="21"/>
      <c r="UH95" s="21"/>
      <c r="UI95" s="21"/>
      <c r="UJ95" s="21"/>
      <c r="UK95" s="21"/>
      <c r="UL95" s="21"/>
      <c r="UM95" s="21"/>
      <c r="UN95" s="21"/>
      <c r="UO95" s="21"/>
      <c r="UP95" s="21"/>
      <c r="UQ95" s="21"/>
      <c r="UR95" s="21"/>
      <c r="US95" s="21"/>
      <c r="UT95" s="21"/>
      <c r="UU95" s="21"/>
      <c r="UV95" s="21"/>
      <c r="UW95" s="21"/>
      <c r="UX95" s="21"/>
      <c r="UY95" s="21"/>
      <c r="UZ95" s="21"/>
      <c r="VA95" s="21"/>
      <c r="VB95" s="21"/>
      <c r="VC95" s="21"/>
      <c r="VD95" s="21"/>
      <c r="VE95" s="21"/>
      <c r="VF95" s="21"/>
      <c r="VG95" s="21"/>
      <c r="VH95" s="21"/>
      <c r="VI95" s="21"/>
      <c r="VJ95" s="21"/>
      <c r="VK95" s="21"/>
      <c r="VL95" s="21"/>
      <c r="VM95" s="21"/>
      <c r="VN95" s="21"/>
      <c r="VO95" s="21"/>
      <c r="VP95" s="21"/>
      <c r="VQ95" s="21"/>
      <c r="VR95" s="21"/>
      <c r="VS95" s="21"/>
      <c r="VT95" s="21"/>
      <c r="VU95" s="21"/>
      <c r="VV95" s="21"/>
      <c r="VW95" s="21"/>
      <c r="VX95" s="21"/>
      <c r="VY95" s="21"/>
      <c r="VZ95" s="21"/>
      <c r="WA95" s="21"/>
      <c r="WB95" s="21"/>
      <c r="WC95" s="21"/>
      <c r="WD95" s="21"/>
      <c r="WE95" s="21"/>
      <c r="WF95" s="21"/>
      <c r="WG95" s="21"/>
      <c r="WH95" s="21"/>
      <c r="WI95" s="21"/>
      <c r="WJ95" s="21"/>
      <c r="WK95" s="21"/>
      <c r="WL95" s="21"/>
      <c r="WM95" s="21"/>
      <c r="WN95" s="21"/>
      <c r="WO95" s="21"/>
      <c r="WP95" s="21"/>
      <c r="WQ95" s="21"/>
      <c r="WR95" s="21"/>
      <c r="WS95" s="21"/>
      <c r="WT95" s="21"/>
      <c r="WU95" s="21"/>
      <c r="WV95" s="21"/>
      <c r="WW95" s="21"/>
      <c r="WX95" s="21"/>
      <c r="WY95" s="21"/>
      <c r="WZ95" s="21"/>
      <c r="XA95" s="21"/>
      <c r="XB95" s="21"/>
      <c r="XC95" s="21"/>
      <c r="XD95" s="21"/>
      <c r="XE95" s="21"/>
      <c r="XF95" s="21"/>
      <c r="XG95" s="21"/>
      <c r="XH95" s="21"/>
      <c r="XI95" s="21"/>
      <c r="XJ95" s="21"/>
      <c r="XK95" s="21"/>
      <c r="XL95" s="21"/>
      <c r="XM95" s="21"/>
      <c r="XN95" s="21"/>
      <c r="XO95" s="21"/>
      <c r="XP95" s="21"/>
      <c r="XQ95" s="21"/>
      <c r="XR95" s="21"/>
      <c r="XS95" s="21"/>
      <c r="XT95" s="21"/>
      <c r="XU95" s="21"/>
      <c r="XV95" s="21"/>
      <c r="XW95" s="21"/>
      <c r="XX95" s="21"/>
      <c r="XY95" s="21"/>
      <c r="XZ95" s="21"/>
      <c r="YA95" s="21"/>
      <c r="YB95" s="21"/>
      <c r="YC95" s="21"/>
      <c r="YD95" s="21"/>
      <c r="YE95" s="21"/>
      <c r="YF95" s="21"/>
      <c r="YG95" s="21"/>
      <c r="YH95" s="21"/>
      <c r="YI95" s="21"/>
      <c r="YJ95" s="21"/>
      <c r="YK95" s="21"/>
      <c r="YL95" s="21"/>
      <c r="YM95" s="21"/>
      <c r="YN95" s="21"/>
      <c r="YO95" s="21"/>
      <c r="YP95" s="21"/>
      <c r="YQ95" s="21"/>
      <c r="YR95" s="21"/>
      <c r="YS95" s="21"/>
      <c r="YT95" s="21"/>
      <c r="YU95" s="21"/>
      <c r="YV95" s="21"/>
      <c r="YW95" s="21"/>
      <c r="YX95" s="21"/>
      <c r="YY95" s="21"/>
      <c r="YZ95" s="21"/>
      <c r="ZA95" s="21"/>
      <c r="ZB95" s="21"/>
      <c r="ZC95" s="21"/>
      <c r="ZD95" s="21"/>
      <c r="ZE95" s="21"/>
      <c r="ZF95" s="21"/>
      <c r="ZG95" s="21"/>
      <c r="ZH95" s="21"/>
      <c r="ZI95" s="21"/>
      <c r="ZJ95" s="21"/>
      <c r="ZK95" s="21"/>
      <c r="ZL95" s="21"/>
      <c r="ZM95" s="21"/>
      <c r="ZN95" s="21"/>
      <c r="ZO95" s="21"/>
      <c r="ZP95" s="21"/>
      <c r="ZQ95" s="21"/>
      <c r="ZR95" s="21"/>
      <c r="ZS95" s="21"/>
      <c r="ZT95" s="21"/>
      <c r="ZU95" s="21"/>
      <c r="ZV95" s="21"/>
      <c r="ZW95" s="21"/>
      <c r="ZX95" s="21"/>
      <c r="ZY95" s="21"/>
      <c r="ZZ95" s="21"/>
      <c r="AAA95" s="21"/>
      <c r="AAB95" s="21"/>
      <c r="AAC95" s="21"/>
      <c r="AAD95" s="21"/>
      <c r="AAE95" s="21"/>
      <c r="AAF95" s="21"/>
      <c r="AAG95" s="21"/>
      <c r="AAH95" s="21"/>
      <c r="AAI95" s="21"/>
      <c r="AAJ95" s="21"/>
      <c r="AAK95" s="21"/>
      <c r="AAL95" s="21"/>
      <c r="AAM95" s="21"/>
      <c r="AAN95" s="21"/>
      <c r="AAO95" s="21"/>
      <c r="AAP95" s="21"/>
      <c r="AAQ95" s="21"/>
      <c r="AAR95" s="21"/>
      <c r="AAS95" s="21"/>
      <c r="AAT95" s="21"/>
      <c r="AAU95" s="21"/>
      <c r="AAV95" s="21"/>
      <c r="AAW95" s="21"/>
      <c r="AAX95" s="21"/>
      <c r="AAY95" s="21"/>
      <c r="AAZ95" s="21"/>
      <c r="ABA95" s="21"/>
      <c r="ABB95" s="21"/>
      <c r="ABC95" s="21"/>
      <c r="ABD95" s="21"/>
      <c r="ABE95" s="21"/>
      <c r="ABF95" s="21"/>
      <c r="ABG95" s="21"/>
      <c r="ABH95" s="21"/>
      <c r="ABI95" s="21"/>
      <c r="ABJ95" s="21"/>
      <c r="ABK95" s="21"/>
      <c r="ABL95" s="21"/>
      <c r="ABM95" s="21"/>
      <c r="ABN95" s="21"/>
      <c r="ABO95" s="21"/>
      <c r="ABP95" s="21"/>
      <c r="ABQ95" s="21"/>
      <c r="ABR95" s="21"/>
      <c r="ABS95" s="21"/>
      <c r="ABT95" s="21"/>
      <c r="ABU95" s="21"/>
      <c r="ABV95" s="21"/>
      <c r="ABW95" s="21"/>
      <c r="ABX95" s="21"/>
      <c r="ABY95" s="21"/>
      <c r="ABZ95" s="21"/>
      <c r="ACA95" s="21"/>
      <c r="ACB95" s="21"/>
      <c r="ACC95" s="21"/>
      <c r="ACD95" s="21"/>
      <c r="ACE95" s="21"/>
      <c r="ACF95" s="21"/>
      <c r="ACG95" s="21"/>
      <c r="ACH95" s="21"/>
      <c r="ACI95" s="21"/>
      <c r="ACJ95" s="21"/>
      <c r="ACK95" s="21"/>
      <c r="ACL95" s="21"/>
      <c r="ACM95" s="21"/>
      <c r="ACN95" s="21"/>
      <c r="ACO95" s="21"/>
      <c r="ACP95" s="21"/>
      <c r="ACQ95" s="21"/>
      <c r="ACR95" s="21"/>
      <c r="ACS95" s="21"/>
      <c r="ACT95" s="21"/>
      <c r="ACU95" s="21"/>
      <c r="ACV95" s="21"/>
      <c r="ACW95" s="21"/>
      <c r="ACX95" s="21"/>
      <c r="ACY95" s="21"/>
      <c r="ACZ95" s="21"/>
      <c r="ADA95" s="21"/>
      <c r="ADB95" s="21"/>
      <c r="ADC95" s="21"/>
      <c r="ADD95" s="21"/>
      <c r="ADE95" s="21"/>
      <c r="ADF95" s="21"/>
      <c r="ADG95" s="21"/>
      <c r="ADH95" s="21"/>
      <c r="ADI95" s="21"/>
      <c r="ADJ95" s="21"/>
      <c r="ADK95" s="21"/>
      <c r="ADL95" s="21"/>
      <c r="ADM95" s="21"/>
      <c r="ADN95" s="21"/>
      <c r="ADO95" s="21"/>
      <c r="ADP95" s="21"/>
      <c r="ADQ95" s="21"/>
      <c r="ADR95" s="21"/>
      <c r="ADS95" s="21"/>
      <c r="ADT95" s="21"/>
      <c r="ADU95" s="21"/>
      <c r="ADV95" s="21"/>
      <c r="ADW95" s="21"/>
      <c r="ADX95" s="21"/>
      <c r="ADY95" s="21"/>
      <c r="ADZ95" s="21"/>
      <c r="AEA95" s="21"/>
      <c r="AEB95" s="21"/>
      <c r="AEC95" s="21"/>
      <c r="AED95" s="21"/>
      <c r="AEE95" s="21"/>
      <c r="AEF95" s="21"/>
      <c r="AEG95" s="21"/>
    </row>
    <row r="96" spans="1:813" s="93" customFormat="1" ht="120" x14ac:dyDescent="0.25">
      <c r="A96" s="91">
        <v>33</v>
      </c>
      <c r="B96" s="63" t="s">
        <v>285</v>
      </c>
      <c r="C96" s="38" t="s">
        <v>284</v>
      </c>
      <c r="D96" s="63" t="s">
        <v>283</v>
      </c>
      <c r="E96" s="36" t="s">
        <v>282</v>
      </c>
      <c r="F96" s="111">
        <v>3.1</v>
      </c>
      <c r="G96" s="32">
        <f>173/2</f>
        <v>86.5</v>
      </c>
      <c r="H96" s="33">
        <v>260</v>
      </c>
      <c r="I96" s="32">
        <f>85/2</f>
        <v>42.5</v>
      </c>
      <c r="J96" s="33">
        <f t="shared" si="22"/>
        <v>130</v>
      </c>
      <c r="K96" s="32">
        <f>357/2</f>
        <v>178.5</v>
      </c>
      <c r="L96" s="33">
        <f t="shared" si="23"/>
        <v>550</v>
      </c>
      <c r="M96" s="32">
        <f>497/2</f>
        <v>248.5</v>
      </c>
      <c r="N96" s="33">
        <v>760</v>
      </c>
      <c r="O96" s="32">
        <f>174/2</f>
        <v>87</v>
      </c>
      <c r="P96" s="33">
        <f t="shared" si="24"/>
        <v>270</v>
      </c>
      <c r="Q96" s="32">
        <f>306/2</f>
        <v>153</v>
      </c>
      <c r="R96" s="33">
        <f t="shared" si="25"/>
        <v>470</v>
      </c>
      <c r="S96" s="32">
        <f>725/2</f>
        <v>362.5</v>
      </c>
      <c r="T96" s="33">
        <v>1110</v>
      </c>
      <c r="U96" s="32">
        <f>133/2</f>
        <v>66.5</v>
      </c>
      <c r="V96" s="33">
        <f t="shared" si="26"/>
        <v>210</v>
      </c>
      <c r="W96" s="32">
        <f>22/2</f>
        <v>11</v>
      </c>
      <c r="X96" s="33">
        <f t="shared" si="27"/>
        <v>30</v>
      </c>
      <c r="Y96" s="32">
        <f>247/2</f>
        <v>123.5</v>
      </c>
      <c r="Z96" s="33">
        <f t="shared" si="28"/>
        <v>380</v>
      </c>
      <c r="AA96" s="32">
        <f>194/2</f>
        <v>97</v>
      </c>
      <c r="AB96" s="33">
        <f t="shared" si="29"/>
        <v>300</v>
      </c>
      <c r="AC96" s="32">
        <f>132/2</f>
        <v>66</v>
      </c>
      <c r="AD96" s="33">
        <f t="shared" si="30"/>
        <v>200</v>
      </c>
      <c r="AE96" s="32"/>
      <c r="AF96" s="33">
        <f t="shared" si="31"/>
        <v>4670</v>
      </c>
      <c r="AG96" s="33">
        <v>4.4000000000000004</v>
      </c>
      <c r="AH96" s="33">
        <f>3090/2</f>
        <v>1545</v>
      </c>
      <c r="AI96" s="32">
        <f>ROUND(AG96*AH96,-1)</f>
        <v>6800</v>
      </c>
      <c r="AJ96" s="31">
        <v>782973.43525067379</v>
      </c>
      <c r="AK96" s="31">
        <v>63778.483104189188</v>
      </c>
      <c r="AL96" s="31">
        <v>846751.91835486295</v>
      </c>
      <c r="AM96" s="30" t="s">
        <v>18</v>
      </c>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c r="FB96" s="21"/>
      <c r="FC96" s="21"/>
      <c r="FD96" s="21"/>
      <c r="FE96" s="21"/>
      <c r="FF96" s="21"/>
      <c r="FG96" s="21"/>
      <c r="FH96" s="21"/>
      <c r="FI96" s="21"/>
      <c r="FJ96" s="21"/>
      <c r="FK96" s="21"/>
      <c r="FL96" s="21"/>
      <c r="FM96" s="21"/>
      <c r="FN96" s="21"/>
      <c r="FO96" s="21"/>
      <c r="FP96" s="21"/>
      <c r="FQ96" s="21"/>
      <c r="FR96" s="21"/>
      <c r="FS96" s="21"/>
      <c r="FT96" s="21"/>
      <c r="FU96" s="21"/>
      <c r="FV96" s="21"/>
      <c r="FW96" s="21"/>
      <c r="FX96" s="21"/>
      <c r="FY96" s="21"/>
      <c r="FZ96" s="21"/>
      <c r="GA96" s="21"/>
      <c r="GB96" s="21"/>
      <c r="GC96" s="21"/>
      <c r="GD96" s="21"/>
      <c r="GE96" s="21"/>
      <c r="GF96" s="21"/>
      <c r="GG96" s="21"/>
      <c r="GH96" s="21"/>
      <c r="GI96" s="21"/>
      <c r="GJ96" s="21"/>
      <c r="GK96" s="21"/>
      <c r="GL96" s="21"/>
      <c r="GM96" s="21"/>
      <c r="GN96" s="21"/>
      <c r="GO96" s="21"/>
      <c r="GP96" s="21"/>
      <c r="GQ96" s="21"/>
      <c r="GR96" s="21"/>
      <c r="GS96" s="21"/>
      <c r="GT96" s="21"/>
      <c r="GU96" s="21"/>
      <c r="GV96" s="21"/>
      <c r="GW96" s="21"/>
      <c r="GX96" s="21"/>
      <c r="GY96" s="21"/>
      <c r="GZ96" s="21"/>
      <c r="HA96" s="21"/>
      <c r="HB96" s="21"/>
      <c r="HC96" s="21"/>
      <c r="HD96" s="21"/>
      <c r="HE96" s="21"/>
      <c r="HF96" s="21"/>
      <c r="HG96" s="21"/>
      <c r="HH96" s="21"/>
      <c r="HI96" s="21"/>
      <c r="HJ96" s="21"/>
      <c r="HK96" s="21"/>
      <c r="HL96" s="21"/>
      <c r="HM96" s="21"/>
      <c r="HN96" s="21"/>
      <c r="HO96" s="21"/>
      <c r="HP96" s="21"/>
      <c r="HQ96" s="21"/>
      <c r="HR96" s="21"/>
      <c r="HS96" s="21"/>
      <c r="HT96" s="21"/>
      <c r="HU96" s="21"/>
      <c r="HV96" s="21"/>
      <c r="HW96" s="21"/>
      <c r="HX96" s="21"/>
      <c r="HY96" s="21"/>
      <c r="HZ96" s="21"/>
      <c r="IA96" s="21"/>
      <c r="IB96" s="21"/>
      <c r="IC96" s="21"/>
      <c r="ID96" s="21"/>
      <c r="IE96" s="21"/>
      <c r="IF96" s="21"/>
      <c r="IG96" s="21"/>
      <c r="IH96" s="21"/>
      <c r="II96" s="21"/>
      <c r="IJ96" s="21"/>
      <c r="IK96" s="21"/>
      <c r="IL96" s="21"/>
      <c r="IM96" s="21"/>
      <c r="IN96" s="21"/>
      <c r="IO96" s="21"/>
      <c r="IP96" s="21"/>
      <c r="IQ96" s="21"/>
      <c r="IR96" s="21"/>
      <c r="IS96" s="21"/>
      <c r="IT96" s="21"/>
      <c r="IU96" s="21"/>
      <c r="IV96" s="21"/>
      <c r="IW96" s="21"/>
      <c r="IX96" s="21"/>
      <c r="IY96" s="21"/>
      <c r="IZ96" s="21"/>
      <c r="JA96" s="21"/>
      <c r="JB96" s="21"/>
      <c r="JC96" s="21"/>
      <c r="JD96" s="21"/>
      <c r="JE96" s="21"/>
      <c r="JF96" s="21"/>
      <c r="JG96" s="21"/>
      <c r="JH96" s="21"/>
      <c r="JI96" s="21"/>
      <c r="JJ96" s="21"/>
      <c r="JK96" s="21"/>
      <c r="JL96" s="21"/>
      <c r="JM96" s="21"/>
      <c r="JN96" s="21"/>
      <c r="JO96" s="21"/>
      <c r="JP96" s="21"/>
      <c r="JQ96" s="21"/>
      <c r="JR96" s="21"/>
      <c r="JS96" s="21"/>
      <c r="JT96" s="21"/>
      <c r="JU96" s="21"/>
      <c r="JV96" s="21"/>
      <c r="JW96" s="21"/>
      <c r="JX96" s="21"/>
      <c r="JY96" s="21"/>
      <c r="JZ96" s="21"/>
      <c r="KA96" s="21"/>
      <c r="KB96" s="21"/>
      <c r="KC96" s="21"/>
      <c r="KD96" s="21"/>
      <c r="KE96" s="21"/>
      <c r="KF96" s="21"/>
      <c r="KG96" s="21"/>
      <c r="KH96" s="21"/>
      <c r="KI96" s="21"/>
      <c r="KJ96" s="21"/>
      <c r="KK96" s="21"/>
      <c r="KL96" s="21"/>
      <c r="KM96" s="21"/>
      <c r="KN96" s="21"/>
      <c r="KO96" s="21"/>
      <c r="KP96" s="21"/>
      <c r="KQ96" s="21"/>
      <c r="KR96" s="21"/>
      <c r="KS96" s="21"/>
      <c r="KT96" s="21"/>
      <c r="KU96" s="21"/>
      <c r="KV96" s="21"/>
      <c r="KW96" s="21"/>
      <c r="KX96" s="21"/>
      <c r="KY96" s="21"/>
      <c r="KZ96" s="21"/>
      <c r="LA96" s="21"/>
      <c r="LB96" s="21"/>
      <c r="LC96" s="21"/>
      <c r="LD96" s="21"/>
      <c r="LE96" s="21"/>
      <c r="LF96" s="21"/>
      <c r="LG96" s="21"/>
      <c r="LH96" s="21"/>
      <c r="LI96" s="21"/>
      <c r="LJ96" s="21"/>
      <c r="LK96" s="21"/>
      <c r="LL96" s="21"/>
      <c r="LM96" s="21"/>
      <c r="LN96" s="21"/>
      <c r="LO96" s="21"/>
      <c r="LP96" s="21"/>
      <c r="LQ96" s="21"/>
      <c r="LR96" s="21"/>
      <c r="LS96" s="21"/>
      <c r="LT96" s="21"/>
      <c r="LU96" s="21"/>
      <c r="LV96" s="21"/>
      <c r="LW96" s="21"/>
      <c r="LX96" s="21"/>
      <c r="LY96" s="21"/>
      <c r="LZ96" s="21"/>
      <c r="MA96" s="21"/>
      <c r="MB96" s="21"/>
      <c r="MC96" s="21"/>
      <c r="MD96" s="21"/>
      <c r="ME96" s="21"/>
      <c r="MF96" s="21"/>
      <c r="MG96" s="21"/>
      <c r="MH96" s="21"/>
      <c r="MI96" s="21"/>
      <c r="MJ96" s="21"/>
      <c r="MK96" s="21"/>
      <c r="ML96" s="21"/>
      <c r="MM96" s="21"/>
      <c r="MN96" s="21"/>
      <c r="MO96" s="21"/>
      <c r="MP96" s="21"/>
      <c r="MQ96" s="21"/>
      <c r="MR96" s="21"/>
      <c r="MS96" s="21"/>
      <c r="MT96" s="21"/>
      <c r="MU96" s="21"/>
      <c r="MV96" s="21"/>
      <c r="MW96" s="21"/>
      <c r="MX96" s="21"/>
      <c r="MY96" s="21"/>
      <c r="MZ96" s="21"/>
      <c r="NA96" s="21"/>
      <c r="NB96" s="21"/>
      <c r="NC96" s="21"/>
      <c r="ND96" s="21"/>
      <c r="NE96" s="21"/>
      <c r="NF96" s="21"/>
      <c r="NG96" s="21"/>
      <c r="NH96" s="21"/>
      <c r="NI96" s="21"/>
      <c r="NJ96" s="21"/>
      <c r="NK96" s="21"/>
      <c r="NL96" s="21"/>
      <c r="NM96" s="21"/>
      <c r="NN96" s="21"/>
      <c r="NO96" s="21"/>
      <c r="NP96" s="21"/>
      <c r="NQ96" s="21"/>
      <c r="NR96" s="21"/>
      <c r="NS96" s="21"/>
      <c r="NT96" s="21"/>
      <c r="NU96" s="21"/>
      <c r="NV96" s="21"/>
      <c r="NW96" s="21"/>
      <c r="NX96" s="21"/>
      <c r="NY96" s="21"/>
      <c r="NZ96" s="21"/>
      <c r="OA96" s="21"/>
      <c r="OB96" s="21"/>
      <c r="OC96" s="21"/>
      <c r="OD96" s="21"/>
      <c r="OE96" s="21"/>
      <c r="OF96" s="21"/>
      <c r="OG96" s="21"/>
      <c r="OH96" s="21"/>
      <c r="OI96" s="21"/>
      <c r="OJ96" s="21"/>
      <c r="OK96" s="21"/>
      <c r="OL96" s="21"/>
      <c r="OM96" s="21"/>
      <c r="ON96" s="21"/>
      <c r="OO96" s="21"/>
      <c r="OP96" s="21"/>
      <c r="OQ96" s="21"/>
      <c r="OR96" s="21"/>
      <c r="OS96" s="21"/>
      <c r="OT96" s="21"/>
      <c r="OU96" s="21"/>
      <c r="OV96" s="21"/>
      <c r="OW96" s="21"/>
      <c r="OX96" s="21"/>
      <c r="OY96" s="21"/>
      <c r="OZ96" s="21"/>
      <c r="PA96" s="21"/>
      <c r="PB96" s="21"/>
      <c r="PC96" s="21"/>
      <c r="PD96" s="21"/>
      <c r="PE96" s="21"/>
      <c r="PF96" s="21"/>
      <c r="PG96" s="21"/>
      <c r="PH96" s="21"/>
      <c r="PI96" s="21"/>
      <c r="PJ96" s="21"/>
      <c r="PK96" s="21"/>
      <c r="PL96" s="21"/>
      <c r="PM96" s="21"/>
      <c r="PN96" s="21"/>
      <c r="PO96" s="21"/>
      <c r="PP96" s="21"/>
      <c r="PQ96" s="21"/>
      <c r="PR96" s="21"/>
      <c r="PS96" s="21"/>
      <c r="PT96" s="21"/>
      <c r="PU96" s="21"/>
      <c r="PV96" s="21"/>
      <c r="PW96" s="21"/>
      <c r="PX96" s="21"/>
      <c r="PY96" s="21"/>
      <c r="PZ96" s="21"/>
      <c r="QA96" s="21"/>
      <c r="QB96" s="21"/>
      <c r="QC96" s="21"/>
      <c r="QD96" s="21"/>
      <c r="QE96" s="21"/>
      <c r="QF96" s="21"/>
      <c r="QG96" s="21"/>
      <c r="QH96" s="21"/>
      <c r="QI96" s="21"/>
      <c r="QJ96" s="21"/>
      <c r="QK96" s="21"/>
      <c r="QL96" s="21"/>
      <c r="QM96" s="21"/>
      <c r="QN96" s="21"/>
      <c r="QO96" s="21"/>
      <c r="QP96" s="21"/>
      <c r="QQ96" s="21"/>
      <c r="QR96" s="21"/>
      <c r="QS96" s="21"/>
      <c r="QT96" s="21"/>
      <c r="QU96" s="21"/>
      <c r="QV96" s="21"/>
      <c r="QW96" s="21"/>
      <c r="QX96" s="21"/>
      <c r="QY96" s="21"/>
      <c r="QZ96" s="21"/>
      <c r="RA96" s="21"/>
      <c r="RB96" s="21"/>
      <c r="RC96" s="21"/>
      <c r="RD96" s="21"/>
      <c r="RE96" s="21"/>
      <c r="RF96" s="21"/>
      <c r="RG96" s="21"/>
      <c r="RH96" s="21"/>
      <c r="RI96" s="21"/>
      <c r="RJ96" s="21"/>
      <c r="RK96" s="21"/>
      <c r="RL96" s="21"/>
      <c r="RM96" s="21"/>
      <c r="RN96" s="21"/>
      <c r="RO96" s="21"/>
      <c r="RP96" s="21"/>
      <c r="RQ96" s="21"/>
      <c r="RR96" s="21"/>
      <c r="RS96" s="21"/>
      <c r="RT96" s="21"/>
      <c r="RU96" s="21"/>
      <c r="RV96" s="21"/>
      <c r="RW96" s="21"/>
      <c r="RX96" s="21"/>
      <c r="RY96" s="21"/>
      <c r="RZ96" s="21"/>
      <c r="SA96" s="21"/>
      <c r="SB96" s="21"/>
      <c r="SC96" s="21"/>
      <c r="SD96" s="21"/>
      <c r="SE96" s="21"/>
      <c r="SF96" s="21"/>
      <c r="SG96" s="21"/>
      <c r="SH96" s="21"/>
      <c r="SI96" s="21"/>
      <c r="SJ96" s="21"/>
      <c r="SK96" s="21"/>
      <c r="SL96" s="21"/>
      <c r="SM96" s="21"/>
      <c r="SN96" s="21"/>
      <c r="SO96" s="21"/>
      <c r="SP96" s="21"/>
      <c r="SQ96" s="21"/>
      <c r="SR96" s="21"/>
      <c r="SS96" s="21"/>
      <c r="ST96" s="21"/>
      <c r="SU96" s="21"/>
      <c r="SV96" s="21"/>
      <c r="SW96" s="21"/>
      <c r="SX96" s="21"/>
      <c r="SY96" s="21"/>
      <c r="SZ96" s="21"/>
      <c r="TA96" s="21"/>
      <c r="TB96" s="21"/>
      <c r="TC96" s="21"/>
      <c r="TD96" s="21"/>
      <c r="TE96" s="21"/>
      <c r="TF96" s="21"/>
      <c r="TG96" s="21"/>
      <c r="TH96" s="21"/>
      <c r="TI96" s="21"/>
      <c r="TJ96" s="21"/>
      <c r="TK96" s="21"/>
      <c r="TL96" s="21"/>
      <c r="TM96" s="21"/>
      <c r="TN96" s="21"/>
      <c r="TO96" s="21"/>
      <c r="TP96" s="21"/>
      <c r="TQ96" s="21"/>
      <c r="TR96" s="21"/>
      <c r="TS96" s="21"/>
      <c r="TT96" s="21"/>
      <c r="TU96" s="21"/>
      <c r="TV96" s="21"/>
      <c r="TW96" s="21"/>
      <c r="TX96" s="21"/>
      <c r="TY96" s="21"/>
      <c r="TZ96" s="21"/>
      <c r="UA96" s="21"/>
      <c r="UB96" s="21"/>
      <c r="UC96" s="21"/>
      <c r="UD96" s="21"/>
      <c r="UE96" s="21"/>
      <c r="UF96" s="21"/>
      <c r="UG96" s="21"/>
      <c r="UH96" s="21"/>
      <c r="UI96" s="21"/>
      <c r="UJ96" s="21"/>
      <c r="UK96" s="21"/>
      <c r="UL96" s="21"/>
      <c r="UM96" s="21"/>
      <c r="UN96" s="21"/>
      <c r="UO96" s="21"/>
      <c r="UP96" s="21"/>
      <c r="UQ96" s="21"/>
      <c r="UR96" s="21"/>
      <c r="US96" s="21"/>
      <c r="UT96" s="21"/>
      <c r="UU96" s="21"/>
      <c r="UV96" s="21"/>
      <c r="UW96" s="21"/>
      <c r="UX96" s="21"/>
      <c r="UY96" s="21"/>
      <c r="UZ96" s="21"/>
      <c r="VA96" s="21"/>
      <c r="VB96" s="21"/>
      <c r="VC96" s="21"/>
      <c r="VD96" s="21"/>
      <c r="VE96" s="21"/>
      <c r="VF96" s="21"/>
      <c r="VG96" s="21"/>
      <c r="VH96" s="21"/>
      <c r="VI96" s="21"/>
      <c r="VJ96" s="21"/>
      <c r="VK96" s="21"/>
      <c r="VL96" s="21"/>
      <c r="VM96" s="21"/>
      <c r="VN96" s="21"/>
      <c r="VO96" s="21"/>
      <c r="VP96" s="21"/>
      <c r="VQ96" s="21"/>
      <c r="VR96" s="21"/>
      <c r="VS96" s="21"/>
      <c r="VT96" s="21"/>
      <c r="VU96" s="21"/>
      <c r="VV96" s="21"/>
      <c r="VW96" s="21"/>
      <c r="VX96" s="21"/>
      <c r="VY96" s="21"/>
      <c r="VZ96" s="21"/>
      <c r="WA96" s="21"/>
      <c r="WB96" s="21"/>
      <c r="WC96" s="21"/>
      <c r="WD96" s="21"/>
      <c r="WE96" s="21"/>
      <c r="WF96" s="21"/>
      <c r="WG96" s="21"/>
      <c r="WH96" s="21"/>
      <c r="WI96" s="21"/>
      <c r="WJ96" s="21"/>
      <c r="WK96" s="21"/>
      <c r="WL96" s="21"/>
      <c r="WM96" s="21"/>
      <c r="WN96" s="21"/>
      <c r="WO96" s="21"/>
      <c r="WP96" s="21"/>
      <c r="WQ96" s="21"/>
      <c r="WR96" s="21"/>
      <c r="WS96" s="21"/>
      <c r="WT96" s="21"/>
      <c r="WU96" s="21"/>
      <c r="WV96" s="21"/>
      <c r="WW96" s="21"/>
      <c r="WX96" s="21"/>
      <c r="WY96" s="21"/>
      <c r="WZ96" s="21"/>
      <c r="XA96" s="21"/>
      <c r="XB96" s="21"/>
      <c r="XC96" s="21"/>
      <c r="XD96" s="21"/>
      <c r="XE96" s="21"/>
      <c r="XF96" s="21"/>
      <c r="XG96" s="21"/>
      <c r="XH96" s="21"/>
      <c r="XI96" s="21"/>
      <c r="XJ96" s="21"/>
      <c r="XK96" s="21"/>
      <c r="XL96" s="21"/>
      <c r="XM96" s="21"/>
      <c r="XN96" s="21"/>
      <c r="XO96" s="21"/>
      <c r="XP96" s="21"/>
      <c r="XQ96" s="21"/>
      <c r="XR96" s="21"/>
      <c r="XS96" s="21"/>
      <c r="XT96" s="21"/>
      <c r="XU96" s="21"/>
      <c r="XV96" s="21"/>
      <c r="XW96" s="21"/>
      <c r="XX96" s="21"/>
      <c r="XY96" s="21"/>
      <c r="XZ96" s="21"/>
      <c r="YA96" s="21"/>
      <c r="YB96" s="21"/>
      <c r="YC96" s="21"/>
      <c r="YD96" s="21"/>
      <c r="YE96" s="21"/>
      <c r="YF96" s="21"/>
      <c r="YG96" s="21"/>
      <c r="YH96" s="21"/>
      <c r="YI96" s="21"/>
      <c r="YJ96" s="21"/>
      <c r="YK96" s="21"/>
      <c r="YL96" s="21"/>
      <c r="YM96" s="21"/>
      <c r="YN96" s="21"/>
      <c r="YO96" s="21"/>
      <c r="YP96" s="21"/>
      <c r="YQ96" s="21"/>
      <c r="YR96" s="21"/>
      <c r="YS96" s="21"/>
      <c r="YT96" s="21"/>
      <c r="YU96" s="21"/>
      <c r="YV96" s="21"/>
      <c r="YW96" s="21"/>
      <c r="YX96" s="21"/>
      <c r="YY96" s="21"/>
      <c r="YZ96" s="21"/>
      <c r="ZA96" s="21"/>
      <c r="ZB96" s="21"/>
      <c r="ZC96" s="21"/>
      <c r="ZD96" s="21"/>
      <c r="ZE96" s="21"/>
      <c r="ZF96" s="21"/>
      <c r="ZG96" s="21"/>
      <c r="ZH96" s="21"/>
      <c r="ZI96" s="21"/>
      <c r="ZJ96" s="21"/>
      <c r="ZK96" s="21"/>
      <c r="ZL96" s="21"/>
      <c r="ZM96" s="21"/>
      <c r="ZN96" s="21"/>
      <c r="ZO96" s="21"/>
      <c r="ZP96" s="21"/>
      <c r="ZQ96" s="21"/>
      <c r="ZR96" s="21"/>
      <c r="ZS96" s="21"/>
      <c r="ZT96" s="21"/>
      <c r="ZU96" s="21"/>
      <c r="ZV96" s="21"/>
      <c r="ZW96" s="21"/>
      <c r="ZX96" s="21"/>
      <c r="ZY96" s="21"/>
      <c r="ZZ96" s="21"/>
      <c r="AAA96" s="21"/>
      <c r="AAB96" s="21"/>
      <c r="AAC96" s="21"/>
      <c r="AAD96" s="21"/>
      <c r="AAE96" s="21"/>
      <c r="AAF96" s="21"/>
      <c r="AAG96" s="21"/>
      <c r="AAH96" s="21"/>
      <c r="AAI96" s="21"/>
      <c r="AAJ96" s="21"/>
      <c r="AAK96" s="21"/>
      <c r="AAL96" s="21"/>
      <c r="AAM96" s="21"/>
      <c r="AAN96" s="21"/>
      <c r="AAO96" s="21"/>
      <c r="AAP96" s="21"/>
      <c r="AAQ96" s="21"/>
      <c r="AAR96" s="21"/>
      <c r="AAS96" s="21"/>
      <c r="AAT96" s="21"/>
      <c r="AAU96" s="21"/>
      <c r="AAV96" s="21"/>
      <c r="AAW96" s="21"/>
      <c r="AAX96" s="21"/>
      <c r="AAY96" s="21"/>
      <c r="AAZ96" s="21"/>
      <c r="ABA96" s="21"/>
      <c r="ABB96" s="21"/>
      <c r="ABC96" s="21"/>
      <c r="ABD96" s="21"/>
      <c r="ABE96" s="21"/>
      <c r="ABF96" s="21"/>
      <c r="ABG96" s="21"/>
      <c r="ABH96" s="21"/>
      <c r="ABI96" s="21"/>
      <c r="ABJ96" s="21"/>
      <c r="ABK96" s="21"/>
      <c r="ABL96" s="21"/>
      <c r="ABM96" s="21"/>
      <c r="ABN96" s="21"/>
      <c r="ABO96" s="21"/>
      <c r="ABP96" s="21"/>
      <c r="ABQ96" s="21"/>
      <c r="ABR96" s="21"/>
      <c r="ABS96" s="21"/>
      <c r="ABT96" s="21"/>
      <c r="ABU96" s="21"/>
      <c r="ABV96" s="21"/>
      <c r="ABW96" s="21"/>
      <c r="ABX96" s="21"/>
      <c r="ABY96" s="21"/>
      <c r="ABZ96" s="21"/>
      <c r="ACA96" s="21"/>
      <c r="ACB96" s="21"/>
      <c r="ACC96" s="21"/>
      <c r="ACD96" s="21"/>
      <c r="ACE96" s="21"/>
      <c r="ACF96" s="21"/>
      <c r="ACG96" s="21"/>
      <c r="ACH96" s="21"/>
      <c r="ACI96" s="21"/>
      <c r="ACJ96" s="21"/>
      <c r="ACK96" s="21"/>
      <c r="ACL96" s="21"/>
      <c r="ACM96" s="21"/>
      <c r="ACN96" s="21"/>
      <c r="ACO96" s="21"/>
      <c r="ACP96" s="21"/>
      <c r="ACQ96" s="21"/>
      <c r="ACR96" s="21"/>
      <c r="ACS96" s="21"/>
      <c r="ACT96" s="21"/>
      <c r="ACU96" s="21"/>
      <c r="ACV96" s="21"/>
      <c r="ACW96" s="21"/>
      <c r="ACX96" s="21"/>
      <c r="ACY96" s="21"/>
      <c r="ACZ96" s="21"/>
      <c r="ADA96" s="21"/>
      <c r="ADB96" s="21"/>
      <c r="ADC96" s="21"/>
      <c r="ADD96" s="21"/>
      <c r="ADE96" s="21"/>
      <c r="ADF96" s="21"/>
      <c r="ADG96" s="21"/>
      <c r="ADH96" s="21"/>
      <c r="ADI96" s="21"/>
      <c r="ADJ96" s="21"/>
      <c r="ADK96" s="21"/>
      <c r="ADL96" s="21"/>
      <c r="ADM96" s="21"/>
      <c r="ADN96" s="21"/>
      <c r="ADO96" s="21"/>
      <c r="ADP96" s="21"/>
      <c r="ADQ96" s="21"/>
      <c r="ADR96" s="21"/>
      <c r="ADS96" s="21"/>
      <c r="ADT96" s="21"/>
      <c r="ADU96" s="21"/>
      <c r="ADV96" s="21"/>
      <c r="ADW96" s="21"/>
      <c r="ADX96" s="21"/>
      <c r="ADY96" s="21"/>
      <c r="ADZ96" s="21"/>
      <c r="AEA96" s="21"/>
      <c r="AEB96" s="21"/>
      <c r="AEC96" s="21"/>
      <c r="AED96" s="21"/>
      <c r="AEE96" s="21"/>
      <c r="AEF96" s="21"/>
      <c r="AEG96" s="21"/>
    </row>
    <row r="97" spans="1:813" s="21" customFormat="1" ht="60" x14ac:dyDescent="0.25">
      <c r="A97" s="91">
        <v>34</v>
      </c>
      <c r="B97" s="81" t="s">
        <v>281</v>
      </c>
      <c r="C97" s="80" t="s">
        <v>280</v>
      </c>
      <c r="D97" s="63" t="s">
        <v>279</v>
      </c>
      <c r="E97" s="36" t="s">
        <v>278</v>
      </c>
      <c r="F97" s="111">
        <v>20.399999999999999</v>
      </c>
      <c r="G97" s="32">
        <f>43/2</f>
        <v>21.5</v>
      </c>
      <c r="H97" s="33">
        <f t="shared" ref="H97:H110" si="32">ROUND($F97*G97,-1)</f>
        <v>440</v>
      </c>
      <c r="I97" s="32">
        <f>27/2</f>
        <v>13.5</v>
      </c>
      <c r="J97" s="33">
        <f t="shared" si="22"/>
        <v>280</v>
      </c>
      <c r="K97" s="32">
        <f>129/2</f>
        <v>64.5</v>
      </c>
      <c r="L97" s="33">
        <f t="shared" si="23"/>
        <v>1320</v>
      </c>
      <c r="M97" s="32">
        <f>286/2</f>
        <v>143</v>
      </c>
      <c r="N97" s="33">
        <f t="shared" ref="N97:N113" si="33">ROUND($F97*M97,-1)</f>
        <v>2920</v>
      </c>
      <c r="O97" s="32">
        <f>50/2</f>
        <v>25</v>
      </c>
      <c r="P97" s="33">
        <f t="shared" si="24"/>
        <v>510</v>
      </c>
      <c r="Q97" s="32">
        <f>167/2</f>
        <v>83.5</v>
      </c>
      <c r="R97" s="33">
        <f t="shared" si="25"/>
        <v>1700</v>
      </c>
      <c r="S97" s="32">
        <f>191/2</f>
        <v>95.5</v>
      </c>
      <c r="T97" s="33">
        <f t="shared" ref="T97:T113" si="34">ROUND($F97*S97,-1)</f>
        <v>1950</v>
      </c>
      <c r="U97" s="32">
        <f>66/2</f>
        <v>33</v>
      </c>
      <c r="V97" s="33">
        <f t="shared" si="26"/>
        <v>670</v>
      </c>
      <c r="W97" s="32">
        <f>17/2</f>
        <v>8.5</v>
      </c>
      <c r="X97" s="33">
        <f t="shared" si="27"/>
        <v>170</v>
      </c>
      <c r="Y97" s="32">
        <f>132/2</f>
        <v>66</v>
      </c>
      <c r="Z97" s="33">
        <f t="shared" si="28"/>
        <v>1350</v>
      </c>
      <c r="AA97" s="32">
        <f>61/2</f>
        <v>30.5</v>
      </c>
      <c r="AB97" s="33">
        <f t="shared" si="29"/>
        <v>620</v>
      </c>
      <c r="AC97" s="32">
        <f>59/2</f>
        <v>29.5</v>
      </c>
      <c r="AD97" s="33">
        <f t="shared" si="30"/>
        <v>600</v>
      </c>
      <c r="AE97" s="32"/>
      <c r="AF97" s="33">
        <f t="shared" si="31"/>
        <v>12530</v>
      </c>
      <c r="AG97" s="33">
        <v>0</v>
      </c>
      <c r="AH97" s="33">
        <v>0</v>
      </c>
      <c r="AI97" s="32">
        <f>ROUND(AG97*AH97,-1)</f>
        <v>0</v>
      </c>
      <c r="AJ97" s="31">
        <v>313871.06019688852</v>
      </c>
      <c r="AK97" s="31">
        <v>25566.921185841056</v>
      </c>
      <c r="AL97" s="31">
        <v>339437.9813827296</v>
      </c>
      <c r="AM97" s="30" t="s">
        <v>18</v>
      </c>
    </row>
    <row r="98" spans="1:813" s="93" customFormat="1" ht="60" x14ac:dyDescent="0.25">
      <c r="A98" s="179">
        <v>35</v>
      </c>
      <c r="B98" s="185" t="s">
        <v>277</v>
      </c>
      <c r="C98" s="38" t="s">
        <v>276</v>
      </c>
      <c r="D98" s="63" t="s">
        <v>273</v>
      </c>
      <c r="E98" s="36" t="s">
        <v>275</v>
      </c>
      <c r="F98" s="170">
        <v>23.6</v>
      </c>
      <c r="G98" s="170">
        <f>50/2</f>
        <v>25</v>
      </c>
      <c r="H98" s="170">
        <f t="shared" si="32"/>
        <v>590</v>
      </c>
      <c r="I98" s="170">
        <f>25/2</f>
        <v>12.5</v>
      </c>
      <c r="J98" s="170">
        <f t="shared" si="22"/>
        <v>300</v>
      </c>
      <c r="K98" s="170">
        <f>97/2</f>
        <v>48.5</v>
      </c>
      <c r="L98" s="170">
        <f t="shared" si="23"/>
        <v>1140</v>
      </c>
      <c r="M98" s="170">
        <f>92/2</f>
        <v>46</v>
      </c>
      <c r="N98" s="170">
        <f t="shared" si="33"/>
        <v>1090</v>
      </c>
      <c r="O98" s="170">
        <f>51/2</f>
        <v>25.5</v>
      </c>
      <c r="P98" s="170">
        <f t="shared" si="24"/>
        <v>600</v>
      </c>
      <c r="Q98" s="170">
        <f>147/2</f>
        <v>73.5</v>
      </c>
      <c r="R98" s="170">
        <f t="shared" si="25"/>
        <v>1730</v>
      </c>
      <c r="S98" s="170">
        <f>146/2</f>
        <v>73</v>
      </c>
      <c r="T98" s="170">
        <f t="shared" si="34"/>
        <v>1720</v>
      </c>
      <c r="U98" s="170">
        <f>35/2</f>
        <v>17.5</v>
      </c>
      <c r="V98" s="170">
        <f t="shared" si="26"/>
        <v>410</v>
      </c>
      <c r="W98" s="170">
        <f>16/2</f>
        <v>8</v>
      </c>
      <c r="X98" s="170">
        <f t="shared" si="27"/>
        <v>190</v>
      </c>
      <c r="Y98" s="170">
        <f>90/2</f>
        <v>45</v>
      </c>
      <c r="Z98" s="170">
        <f t="shared" si="28"/>
        <v>1060</v>
      </c>
      <c r="AA98" s="170">
        <f>36/2</f>
        <v>18</v>
      </c>
      <c r="AB98" s="170">
        <f t="shared" si="29"/>
        <v>420</v>
      </c>
      <c r="AC98" s="170">
        <f>54/2</f>
        <v>27</v>
      </c>
      <c r="AD98" s="170">
        <f t="shared" si="30"/>
        <v>640</v>
      </c>
      <c r="AE98" s="170"/>
      <c r="AF98" s="170">
        <f t="shared" si="31"/>
        <v>9890</v>
      </c>
      <c r="AG98" s="211">
        <v>0</v>
      </c>
      <c r="AH98" s="211">
        <v>0</v>
      </c>
      <c r="AI98" s="175">
        <f>ROUND(AG98*AH98,-1)</f>
        <v>0</v>
      </c>
      <c r="AJ98" s="214">
        <v>540494.81245033129</v>
      </c>
      <c r="AK98" s="214">
        <v>44026.95891301721</v>
      </c>
      <c r="AL98" s="214">
        <v>584521.77136334847</v>
      </c>
      <c r="AM98" s="213" t="s">
        <v>18</v>
      </c>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c r="FT98" s="21"/>
      <c r="FU98" s="21"/>
      <c r="FV98" s="21"/>
      <c r="FW98" s="21"/>
      <c r="FX98" s="21"/>
      <c r="FY98" s="21"/>
      <c r="FZ98" s="21"/>
      <c r="GA98" s="21"/>
      <c r="GB98" s="21"/>
      <c r="GC98" s="21"/>
      <c r="GD98" s="21"/>
      <c r="GE98" s="21"/>
      <c r="GF98" s="21"/>
      <c r="GG98" s="21"/>
      <c r="GH98" s="21"/>
      <c r="GI98" s="21"/>
      <c r="GJ98" s="21"/>
      <c r="GK98" s="21"/>
      <c r="GL98" s="21"/>
      <c r="GM98" s="21"/>
      <c r="GN98" s="21"/>
      <c r="GO98" s="21"/>
      <c r="GP98" s="21"/>
      <c r="GQ98" s="21"/>
      <c r="GR98" s="21"/>
      <c r="GS98" s="21"/>
      <c r="GT98" s="21"/>
      <c r="GU98" s="21"/>
      <c r="GV98" s="21"/>
      <c r="GW98" s="21"/>
      <c r="GX98" s="21"/>
      <c r="GY98" s="21"/>
      <c r="GZ98" s="21"/>
      <c r="HA98" s="21"/>
      <c r="HB98" s="21"/>
      <c r="HC98" s="21"/>
      <c r="HD98" s="21"/>
      <c r="HE98" s="21"/>
      <c r="HF98" s="21"/>
      <c r="HG98" s="21"/>
      <c r="HH98" s="21"/>
      <c r="HI98" s="21"/>
      <c r="HJ98" s="21"/>
      <c r="HK98" s="21"/>
      <c r="HL98" s="21"/>
      <c r="HM98" s="21"/>
      <c r="HN98" s="21"/>
      <c r="HO98" s="21"/>
      <c r="HP98" s="21"/>
      <c r="HQ98" s="21"/>
      <c r="HR98" s="21"/>
      <c r="HS98" s="21"/>
      <c r="HT98" s="21"/>
      <c r="HU98" s="21"/>
      <c r="HV98" s="21"/>
      <c r="HW98" s="21"/>
      <c r="HX98" s="21"/>
      <c r="HY98" s="21"/>
      <c r="HZ98" s="21"/>
      <c r="IA98" s="21"/>
      <c r="IB98" s="21"/>
      <c r="IC98" s="21"/>
      <c r="ID98" s="21"/>
      <c r="IE98" s="21"/>
      <c r="IF98" s="21"/>
      <c r="IG98" s="21"/>
      <c r="IH98" s="21"/>
      <c r="II98" s="21"/>
      <c r="IJ98" s="21"/>
      <c r="IK98" s="21"/>
      <c r="IL98" s="21"/>
      <c r="IM98" s="21"/>
      <c r="IN98" s="21"/>
      <c r="IO98" s="21"/>
      <c r="IP98" s="21"/>
      <c r="IQ98" s="21"/>
      <c r="IR98" s="21"/>
      <c r="IS98" s="21"/>
      <c r="IT98" s="21"/>
      <c r="IU98" s="21"/>
      <c r="IV98" s="21"/>
      <c r="IW98" s="21"/>
      <c r="IX98" s="21"/>
      <c r="IY98" s="21"/>
      <c r="IZ98" s="21"/>
      <c r="JA98" s="21"/>
      <c r="JB98" s="21"/>
      <c r="JC98" s="21"/>
      <c r="JD98" s="21"/>
      <c r="JE98" s="21"/>
      <c r="JF98" s="21"/>
      <c r="JG98" s="21"/>
      <c r="JH98" s="21"/>
      <c r="JI98" s="21"/>
      <c r="JJ98" s="21"/>
      <c r="JK98" s="21"/>
      <c r="JL98" s="21"/>
      <c r="JM98" s="21"/>
      <c r="JN98" s="21"/>
      <c r="JO98" s="21"/>
      <c r="JP98" s="21"/>
      <c r="JQ98" s="21"/>
      <c r="JR98" s="21"/>
      <c r="JS98" s="21"/>
      <c r="JT98" s="21"/>
      <c r="JU98" s="21"/>
      <c r="JV98" s="21"/>
      <c r="JW98" s="21"/>
      <c r="JX98" s="21"/>
      <c r="JY98" s="21"/>
      <c r="JZ98" s="21"/>
      <c r="KA98" s="21"/>
      <c r="KB98" s="21"/>
      <c r="KC98" s="21"/>
      <c r="KD98" s="21"/>
      <c r="KE98" s="21"/>
      <c r="KF98" s="21"/>
      <c r="KG98" s="21"/>
      <c r="KH98" s="21"/>
      <c r="KI98" s="21"/>
      <c r="KJ98" s="21"/>
      <c r="KK98" s="21"/>
      <c r="KL98" s="21"/>
      <c r="KM98" s="21"/>
      <c r="KN98" s="21"/>
      <c r="KO98" s="21"/>
      <c r="KP98" s="21"/>
      <c r="KQ98" s="21"/>
      <c r="KR98" s="21"/>
      <c r="KS98" s="21"/>
      <c r="KT98" s="21"/>
      <c r="KU98" s="21"/>
      <c r="KV98" s="21"/>
      <c r="KW98" s="21"/>
      <c r="KX98" s="21"/>
      <c r="KY98" s="21"/>
      <c r="KZ98" s="21"/>
      <c r="LA98" s="21"/>
      <c r="LB98" s="21"/>
      <c r="LC98" s="21"/>
      <c r="LD98" s="21"/>
      <c r="LE98" s="21"/>
      <c r="LF98" s="21"/>
      <c r="LG98" s="21"/>
      <c r="LH98" s="21"/>
      <c r="LI98" s="21"/>
      <c r="LJ98" s="21"/>
      <c r="LK98" s="21"/>
      <c r="LL98" s="21"/>
      <c r="LM98" s="21"/>
      <c r="LN98" s="21"/>
      <c r="LO98" s="21"/>
      <c r="LP98" s="21"/>
      <c r="LQ98" s="21"/>
      <c r="LR98" s="21"/>
      <c r="LS98" s="21"/>
      <c r="LT98" s="21"/>
      <c r="LU98" s="21"/>
      <c r="LV98" s="21"/>
      <c r="LW98" s="21"/>
      <c r="LX98" s="21"/>
      <c r="LY98" s="21"/>
      <c r="LZ98" s="21"/>
      <c r="MA98" s="21"/>
      <c r="MB98" s="21"/>
      <c r="MC98" s="21"/>
      <c r="MD98" s="21"/>
      <c r="ME98" s="21"/>
      <c r="MF98" s="21"/>
      <c r="MG98" s="21"/>
      <c r="MH98" s="21"/>
      <c r="MI98" s="21"/>
      <c r="MJ98" s="21"/>
      <c r="MK98" s="21"/>
      <c r="ML98" s="21"/>
      <c r="MM98" s="21"/>
      <c r="MN98" s="21"/>
      <c r="MO98" s="21"/>
      <c r="MP98" s="21"/>
      <c r="MQ98" s="21"/>
      <c r="MR98" s="21"/>
      <c r="MS98" s="21"/>
      <c r="MT98" s="21"/>
      <c r="MU98" s="21"/>
      <c r="MV98" s="21"/>
      <c r="MW98" s="21"/>
      <c r="MX98" s="21"/>
      <c r="MY98" s="21"/>
      <c r="MZ98" s="21"/>
      <c r="NA98" s="21"/>
      <c r="NB98" s="21"/>
      <c r="NC98" s="21"/>
      <c r="ND98" s="21"/>
      <c r="NE98" s="21"/>
      <c r="NF98" s="21"/>
      <c r="NG98" s="21"/>
      <c r="NH98" s="21"/>
      <c r="NI98" s="21"/>
      <c r="NJ98" s="21"/>
      <c r="NK98" s="21"/>
      <c r="NL98" s="21"/>
      <c r="NM98" s="21"/>
      <c r="NN98" s="21"/>
      <c r="NO98" s="21"/>
      <c r="NP98" s="21"/>
      <c r="NQ98" s="21"/>
      <c r="NR98" s="21"/>
      <c r="NS98" s="21"/>
      <c r="NT98" s="21"/>
      <c r="NU98" s="21"/>
      <c r="NV98" s="21"/>
      <c r="NW98" s="21"/>
      <c r="NX98" s="21"/>
      <c r="NY98" s="21"/>
      <c r="NZ98" s="21"/>
      <c r="OA98" s="21"/>
      <c r="OB98" s="21"/>
      <c r="OC98" s="21"/>
      <c r="OD98" s="21"/>
      <c r="OE98" s="21"/>
      <c r="OF98" s="21"/>
      <c r="OG98" s="21"/>
      <c r="OH98" s="21"/>
      <c r="OI98" s="21"/>
      <c r="OJ98" s="21"/>
      <c r="OK98" s="21"/>
      <c r="OL98" s="21"/>
      <c r="OM98" s="21"/>
      <c r="ON98" s="21"/>
      <c r="OO98" s="21"/>
      <c r="OP98" s="21"/>
      <c r="OQ98" s="21"/>
      <c r="OR98" s="21"/>
      <c r="OS98" s="21"/>
      <c r="OT98" s="21"/>
      <c r="OU98" s="21"/>
      <c r="OV98" s="21"/>
      <c r="OW98" s="21"/>
      <c r="OX98" s="21"/>
      <c r="OY98" s="21"/>
      <c r="OZ98" s="21"/>
      <c r="PA98" s="21"/>
      <c r="PB98" s="21"/>
      <c r="PC98" s="21"/>
      <c r="PD98" s="21"/>
      <c r="PE98" s="21"/>
      <c r="PF98" s="21"/>
      <c r="PG98" s="21"/>
      <c r="PH98" s="21"/>
      <c r="PI98" s="21"/>
      <c r="PJ98" s="21"/>
      <c r="PK98" s="21"/>
      <c r="PL98" s="21"/>
      <c r="PM98" s="21"/>
      <c r="PN98" s="21"/>
      <c r="PO98" s="21"/>
      <c r="PP98" s="21"/>
      <c r="PQ98" s="21"/>
      <c r="PR98" s="21"/>
      <c r="PS98" s="21"/>
      <c r="PT98" s="21"/>
      <c r="PU98" s="21"/>
      <c r="PV98" s="21"/>
      <c r="PW98" s="21"/>
      <c r="PX98" s="21"/>
      <c r="PY98" s="21"/>
      <c r="PZ98" s="21"/>
      <c r="QA98" s="21"/>
      <c r="QB98" s="21"/>
      <c r="QC98" s="21"/>
      <c r="QD98" s="21"/>
      <c r="QE98" s="21"/>
      <c r="QF98" s="21"/>
      <c r="QG98" s="21"/>
      <c r="QH98" s="21"/>
      <c r="QI98" s="21"/>
      <c r="QJ98" s="21"/>
      <c r="QK98" s="21"/>
      <c r="QL98" s="21"/>
      <c r="QM98" s="21"/>
      <c r="QN98" s="21"/>
      <c r="QO98" s="21"/>
      <c r="QP98" s="21"/>
      <c r="QQ98" s="21"/>
      <c r="QR98" s="21"/>
      <c r="QS98" s="21"/>
      <c r="QT98" s="21"/>
      <c r="QU98" s="21"/>
      <c r="QV98" s="21"/>
      <c r="QW98" s="21"/>
      <c r="QX98" s="21"/>
      <c r="QY98" s="21"/>
      <c r="QZ98" s="21"/>
      <c r="RA98" s="21"/>
      <c r="RB98" s="21"/>
      <c r="RC98" s="21"/>
      <c r="RD98" s="21"/>
      <c r="RE98" s="21"/>
      <c r="RF98" s="21"/>
      <c r="RG98" s="21"/>
      <c r="RH98" s="21"/>
      <c r="RI98" s="21"/>
      <c r="RJ98" s="21"/>
      <c r="RK98" s="21"/>
      <c r="RL98" s="21"/>
      <c r="RM98" s="21"/>
      <c r="RN98" s="21"/>
      <c r="RO98" s="21"/>
      <c r="RP98" s="21"/>
      <c r="RQ98" s="21"/>
      <c r="RR98" s="21"/>
      <c r="RS98" s="21"/>
      <c r="RT98" s="21"/>
      <c r="RU98" s="21"/>
      <c r="RV98" s="21"/>
      <c r="RW98" s="21"/>
      <c r="RX98" s="21"/>
      <c r="RY98" s="21"/>
      <c r="RZ98" s="21"/>
      <c r="SA98" s="21"/>
      <c r="SB98" s="21"/>
      <c r="SC98" s="21"/>
      <c r="SD98" s="21"/>
      <c r="SE98" s="21"/>
      <c r="SF98" s="21"/>
      <c r="SG98" s="21"/>
      <c r="SH98" s="21"/>
      <c r="SI98" s="21"/>
      <c r="SJ98" s="21"/>
      <c r="SK98" s="21"/>
      <c r="SL98" s="21"/>
      <c r="SM98" s="21"/>
      <c r="SN98" s="21"/>
      <c r="SO98" s="21"/>
      <c r="SP98" s="21"/>
      <c r="SQ98" s="21"/>
      <c r="SR98" s="21"/>
      <c r="SS98" s="21"/>
      <c r="ST98" s="21"/>
      <c r="SU98" s="21"/>
      <c r="SV98" s="21"/>
      <c r="SW98" s="21"/>
      <c r="SX98" s="21"/>
      <c r="SY98" s="21"/>
      <c r="SZ98" s="21"/>
      <c r="TA98" s="21"/>
      <c r="TB98" s="21"/>
      <c r="TC98" s="21"/>
      <c r="TD98" s="21"/>
      <c r="TE98" s="21"/>
      <c r="TF98" s="21"/>
      <c r="TG98" s="21"/>
      <c r="TH98" s="21"/>
      <c r="TI98" s="21"/>
      <c r="TJ98" s="21"/>
      <c r="TK98" s="21"/>
      <c r="TL98" s="21"/>
      <c r="TM98" s="21"/>
      <c r="TN98" s="21"/>
      <c r="TO98" s="21"/>
      <c r="TP98" s="21"/>
      <c r="TQ98" s="21"/>
      <c r="TR98" s="21"/>
      <c r="TS98" s="21"/>
      <c r="TT98" s="21"/>
      <c r="TU98" s="21"/>
      <c r="TV98" s="21"/>
      <c r="TW98" s="21"/>
      <c r="TX98" s="21"/>
      <c r="TY98" s="21"/>
      <c r="TZ98" s="21"/>
      <c r="UA98" s="21"/>
      <c r="UB98" s="21"/>
      <c r="UC98" s="21"/>
      <c r="UD98" s="21"/>
      <c r="UE98" s="21"/>
      <c r="UF98" s="21"/>
      <c r="UG98" s="21"/>
      <c r="UH98" s="21"/>
      <c r="UI98" s="21"/>
      <c r="UJ98" s="21"/>
      <c r="UK98" s="21"/>
      <c r="UL98" s="21"/>
      <c r="UM98" s="21"/>
      <c r="UN98" s="21"/>
      <c r="UO98" s="21"/>
      <c r="UP98" s="21"/>
      <c r="UQ98" s="21"/>
      <c r="UR98" s="21"/>
      <c r="US98" s="21"/>
      <c r="UT98" s="21"/>
      <c r="UU98" s="21"/>
      <c r="UV98" s="21"/>
      <c r="UW98" s="21"/>
      <c r="UX98" s="21"/>
      <c r="UY98" s="21"/>
      <c r="UZ98" s="21"/>
      <c r="VA98" s="21"/>
      <c r="VB98" s="21"/>
      <c r="VC98" s="21"/>
      <c r="VD98" s="21"/>
      <c r="VE98" s="21"/>
      <c r="VF98" s="21"/>
      <c r="VG98" s="21"/>
      <c r="VH98" s="21"/>
      <c r="VI98" s="21"/>
      <c r="VJ98" s="21"/>
      <c r="VK98" s="21"/>
      <c r="VL98" s="21"/>
      <c r="VM98" s="21"/>
      <c r="VN98" s="21"/>
      <c r="VO98" s="21"/>
      <c r="VP98" s="21"/>
      <c r="VQ98" s="21"/>
      <c r="VR98" s="21"/>
      <c r="VS98" s="21"/>
      <c r="VT98" s="21"/>
      <c r="VU98" s="21"/>
      <c r="VV98" s="21"/>
      <c r="VW98" s="21"/>
      <c r="VX98" s="21"/>
      <c r="VY98" s="21"/>
      <c r="VZ98" s="21"/>
      <c r="WA98" s="21"/>
      <c r="WB98" s="21"/>
      <c r="WC98" s="21"/>
      <c r="WD98" s="21"/>
      <c r="WE98" s="21"/>
      <c r="WF98" s="21"/>
      <c r="WG98" s="21"/>
      <c r="WH98" s="21"/>
      <c r="WI98" s="21"/>
      <c r="WJ98" s="21"/>
      <c r="WK98" s="21"/>
      <c r="WL98" s="21"/>
      <c r="WM98" s="21"/>
      <c r="WN98" s="21"/>
      <c r="WO98" s="21"/>
      <c r="WP98" s="21"/>
      <c r="WQ98" s="21"/>
      <c r="WR98" s="21"/>
      <c r="WS98" s="21"/>
      <c r="WT98" s="21"/>
      <c r="WU98" s="21"/>
      <c r="WV98" s="21"/>
      <c r="WW98" s="21"/>
      <c r="WX98" s="21"/>
      <c r="WY98" s="21"/>
      <c r="WZ98" s="21"/>
      <c r="XA98" s="21"/>
      <c r="XB98" s="21"/>
      <c r="XC98" s="21"/>
      <c r="XD98" s="21"/>
      <c r="XE98" s="21"/>
      <c r="XF98" s="21"/>
      <c r="XG98" s="21"/>
      <c r="XH98" s="21"/>
      <c r="XI98" s="21"/>
      <c r="XJ98" s="21"/>
      <c r="XK98" s="21"/>
      <c r="XL98" s="21"/>
      <c r="XM98" s="21"/>
      <c r="XN98" s="21"/>
      <c r="XO98" s="21"/>
      <c r="XP98" s="21"/>
      <c r="XQ98" s="21"/>
      <c r="XR98" s="21"/>
      <c r="XS98" s="21"/>
      <c r="XT98" s="21"/>
      <c r="XU98" s="21"/>
      <c r="XV98" s="21"/>
      <c r="XW98" s="21"/>
      <c r="XX98" s="21"/>
      <c r="XY98" s="21"/>
      <c r="XZ98" s="21"/>
      <c r="YA98" s="21"/>
      <c r="YB98" s="21"/>
      <c r="YC98" s="21"/>
      <c r="YD98" s="21"/>
      <c r="YE98" s="21"/>
      <c r="YF98" s="21"/>
      <c r="YG98" s="21"/>
      <c r="YH98" s="21"/>
      <c r="YI98" s="21"/>
      <c r="YJ98" s="21"/>
      <c r="YK98" s="21"/>
      <c r="YL98" s="21"/>
      <c r="YM98" s="21"/>
      <c r="YN98" s="21"/>
      <c r="YO98" s="21"/>
      <c r="YP98" s="21"/>
      <c r="YQ98" s="21"/>
      <c r="YR98" s="21"/>
      <c r="YS98" s="21"/>
      <c r="YT98" s="21"/>
      <c r="YU98" s="21"/>
      <c r="YV98" s="21"/>
      <c r="YW98" s="21"/>
      <c r="YX98" s="21"/>
      <c r="YY98" s="21"/>
      <c r="YZ98" s="21"/>
      <c r="ZA98" s="21"/>
      <c r="ZB98" s="21"/>
      <c r="ZC98" s="21"/>
      <c r="ZD98" s="21"/>
      <c r="ZE98" s="21"/>
      <c r="ZF98" s="21"/>
      <c r="ZG98" s="21"/>
      <c r="ZH98" s="21"/>
      <c r="ZI98" s="21"/>
      <c r="ZJ98" s="21"/>
      <c r="ZK98" s="21"/>
      <c r="ZL98" s="21"/>
      <c r="ZM98" s="21"/>
      <c r="ZN98" s="21"/>
      <c r="ZO98" s="21"/>
      <c r="ZP98" s="21"/>
      <c r="ZQ98" s="21"/>
      <c r="ZR98" s="21"/>
      <c r="ZS98" s="21"/>
      <c r="ZT98" s="21"/>
      <c r="ZU98" s="21"/>
      <c r="ZV98" s="21"/>
      <c r="ZW98" s="21"/>
      <c r="ZX98" s="21"/>
      <c r="ZY98" s="21"/>
      <c r="ZZ98" s="21"/>
      <c r="AAA98" s="21"/>
      <c r="AAB98" s="21"/>
      <c r="AAC98" s="21"/>
      <c r="AAD98" s="21"/>
      <c r="AAE98" s="21"/>
      <c r="AAF98" s="21"/>
      <c r="AAG98" s="21"/>
      <c r="AAH98" s="21"/>
      <c r="AAI98" s="21"/>
      <c r="AAJ98" s="21"/>
      <c r="AAK98" s="21"/>
      <c r="AAL98" s="21"/>
      <c r="AAM98" s="21"/>
      <c r="AAN98" s="21"/>
      <c r="AAO98" s="21"/>
      <c r="AAP98" s="21"/>
      <c r="AAQ98" s="21"/>
      <c r="AAR98" s="21"/>
      <c r="AAS98" s="21"/>
      <c r="AAT98" s="21"/>
      <c r="AAU98" s="21"/>
      <c r="AAV98" s="21"/>
      <c r="AAW98" s="21"/>
      <c r="AAX98" s="21"/>
      <c r="AAY98" s="21"/>
      <c r="AAZ98" s="21"/>
      <c r="ABA98" s="21"/>
      <c r="ABB98" s="21"/>
      <c r="ABC98" s="21"/>
      <c r="ABD98" s="21"/>
      <c r="ABE98" s="21"/>
      <c r="ABF98" s="21"/>
      <c r="ABG98" s="21"/>
      <c r="ABH98" s="21"/>
      <c r="ABI98" s="21"/>
      <c r="ABJ98" s="21"/>
      <c r="ABK98" s="21"/>
      <c r="ABL98" s="21"/>
      <c r="ABM98" s="21"/>
      <c r="ABN98" s="21"/>
      <c r="ABO98" s="21"/>
      <c r="ABP98" s="21"/>
      <c r="ABQ98" s="21"/>
      <c r="ABR98" s="21"/>
      <c r="ABS98" s="21"/>
      <c r="ABT98" s="21"/>
      <c r="ABU98" s="21"/>
      <c r="ABV98" s="21"/>
      <c r="ABW98" s="21"/>
      <c r="ABX98" s="21"/>
      <c r="ABY98" s="21"/>
      <c r="ABZ98" s="21"/>
      <c r="ACA98" s="21"/>
      <c r="ACB98" s="21"/>
      <c r="ACC98" s="21"/>
      <c r="ACD98" s="21"/>
      <c r="ACE98" s="21"/>
      <c r="ACF98" s="21"/>
      <c r="ACG98" s="21"/>
      <c r="ACH98" s="21"/>
      <c r="ACI98" s="21"/>
      <c r="ACJ98" s="21"/>
      <c r="ACK98" s="21"/>
      <c r="ACL98" s="21"/>
      <c r="ACM98" s="21"/>
      <c r="ACN98" s="21"/>
      <c r="ACO98" s="21"/>
      <c r="ACP98" s="21"/>
      <c r="ACQ98" s="21"/>
      <c r="ACR98" s="21"/>
      <c r="ACS98" s="21"/>
      <c r="ACT98" s="21"/>
      <c r="ACU98" s="21"/>
      <c r="ACV98" s="21"/>
      <c r="ACW98" s="21"/>
      <c r="ACX98" s="21"/>
      <c r="ACY98" s="21"/>
      <c r="ACZ98" s="21"/>
      <c r="ADA98" s="21"/>
      <c r="ADB98" s="21"/>
      <c r="ADC98" s="21"/>
      <c r="ADD98" s="21"/>
      <c r="ADE98" s="21"/>
      <c r="ADF98" s="21"/>
      <c r="ADG98" s="21"/>
      <c r="ADH98" s="21"/>
      <c r="ADI98" s="21"/>
      <c r="ADJ98" s="21"/>
      <c r="ADK98" s="21"/>
      <c r="ADL98" s="21"/>
      <c r="ADM98" s="21"/>
      <c r="ADN98" s="21"/>
      <c r="ADO98" s="21"/>
      <c r="ADP98" s="21"/>
      <c r="ADQ98" s="21"/>
      <c r="ADR98" s="21"/>
      <c r="ADS98" s="21"/>
      <c r="ADT98" s="21"/>
      <c r="ADU98" s="21"/>
      <c r="ADV98" s="21"/>
      <c r="ADW98" s="21"/>
      <c r="ADX98" s="21"/>
      <c r="ADY98" s="21"/>
      <c r="ADZ98" s="21"/>
      <c r="AEA98" s="21"/>
      <c r="AEB98" s="21"/>
      <c r="AEC98" s="21"/>
      <c r="AED98" s="21"/>
      <c r="AEE98" s="21"/>
      <c r="AEF98" s="21"/>
      <c r="AEG98" s="21"/>
    </row>
    <row r="99" spans="1:813" s="93" customFormat="1" ht="90" customHeight="1" x14ac:dyDescent="0.25">
      <c r="A99" s="179"/>
      <c r="B99" s="185"/>
      <c r="C99" s="38" t="s">
        <v>274</v>
      </c>
      <c r="D99" s="63" t="s">
        <v>273</v>
      </c>
      <c r="E99" s="36" t="s">
        <v>272</v>
      </c>
      <c r="F99" s="171"/>
      <c r="G99" s="171"/>
      <c r="H99" s="171">
        <f t="shared" si="32"/>
        <v>0</v>
      </c>
      <c r="I99" s="171"/>
      <c r="J99" s="171">
        <f t="shared" si="22"/>
        <v>0</v>
      </c>
      <c r="K99" s="171"/>
      <c r="L99" s="171">
        <f t="shared" si="23"/>
        <v>0</v>
      </c>
      <c r="M99" s="171"/>
      <c r="N99" s="171">
        <f t="shared" si="33"/>
        <v>0</v>
      </c>
      <c r="O99" s="171"/>
      <c r="P99" s="171">
        <f t="shared" si="24"/>
        <v>0</v>
      </c>
      <c r="Q99" s="171"/>
      <c r="R99" s="171">
        <f t="shared" si="25"/>
        <v>0</v>
      </c>
      <c r="S99" s="171"/>
      <c r="T99" s="171">
        <f t="shared" si="34"/>
        <v>0</v>
      </c>
      <c r="U99" s="171"/>
      <c r="V99" s="171">
        <f t="shared" si="26"/>
        <v>0</v>
      </c>
      <c r="W99" s="171"/>
      <c r="X99" s="171">
        <f t="shared" si="27"/>
        <v>0</v>
      </c>
      <c r="Y99" s="171"/>
      <c r="Z99" s="171">
        <f t="shared" si="28"/>
        <v>0</v>
      </c>
      <c r="AA99" s="171"/>
      <c r="AB99" s="171">
        <f t="shared" si="29"/>
        <v>0</v>
      </c>
      <c r="AC99" s="171"/>
      <c r="AD99" s="171">
        <f t="shared" si="30"/>
        <v>0</v>
      </c>
      <c r="AE99" s="171"/>
      <c r="AF99" s="171">
        <f t="shared" si="31"/>
        <v>0</v>
      </c>
      <c r="AG99" s="212"/>
      <c r="AH99" s="212"/>
      <c r="AI99" s="175"/>
      <c r="AJ99" s="214"/>
      <c r="AK99" s="214"/>
      <c r="AL99" s="214"/>
      <c r="AM99" s="213"/>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c r="DY99" s="21"/>
      <c r="DZ99" s="21"/>
      <c r="EA99" s="21"/>
      <c r="EB99" s="21"/>
      <c r="EC99" s="21"/>
      <c r="ED99" s="21"/>
      <c r="EE99" s="21"/>
      <c r="EF99" s="21"/>
      <c r="EG99" s="21"/>
      <c r="EH99" s="21"/>
      <c r="EI99" s="21"/>
      <c r="EJ99" s="21"/>
      <c r="EK99" s="21"/>
      <c r="EL99" s="21"/>
      <c r="EM99" s="21"/>
      <c r="EN99" s="21"/>
      <c r="EO99" s="21"/>
      <c r="EP99" s="21"/>
      <c r="EQ99" s="21"/>
      <c r="ER99" s="21"/>
      <c r="ES99" s="21"/>
      <c r="ET99" s="21"/>
      <c r="EU99" s="21"/>
      <c r="EV99" s="21"/>
      <c r="EW99" s="21"/>
      <c r="EX99" s="21"/>
      <c r="EY99" s="21"/>
      <c r="EZ99" s="21"/>
      <c r="FA99" s="21"/>
      <c r="FB99" s="21"/>
      <c r="FC99" s="21"/>
      <c r="FD99" s="21"/>
      <c r="FE99" s="21"/>
      <c r="FF99" s="21"/>
      <c r="FG99" s="21"/>
      <c r="FH99" s="21"/>
      <c r="FI99" s="21"/>
      <c r="FJ99" s="21"/>
      <c r="FK99" s="21"/>
      <c r="FL99" s="21"/>
      <c r="FM99" s="21"/>
      <c r="FN99" s="21"/>
      <c r="FO99" s="21"/>
      <c r="FP99" s="21"/>
      <c r="FQ99" s="21"/>
      <c r="FR99" s="21"/>
      <c r="FS99" s="21"/>
      <c r="FT99" s="21"/>
      <c r="FU99" s="21"/>
      <c r="FV99" s="21"/>
      <c r="FW99" s="21"/>
      <c r="FX99" s="21"/>
      <c r="FY99" s="21"/>
      <c r="FZ99" s="21"/>
      <c r="GA99" s="21"/>
      <c r="GB99" s="21"/>
      <c r="GC99" s="21"/>
      <c r="GD99" s="21"/>
      <c r="GE99" s="21"/>
      <c r="GF99" s="21"/>
      <c r="GG99" s="21"/>
      <c r="GH99" s="21"/>
      <c r="GI99" s="21"/>
      <c r="GJ99" s="21"/>
      <c r="GK99" s="21"/>
      <c r="GL99" s="21"/>
      <c r="GM99" s="21"/>
      <c r="GN99" s="21"/>
      <c r="GO99" s="21"/>
      <c r="GP99" s="21"/>
      <c r="GQ99" s="21"/>
      <c r="GR99" s="21"/>
      <c r="GS99" s="21"/>
      <c r="GT99" s="21"/>
      <c r="GU99" s="21"/>
      <c r="GV99" s="21"/>
      <c r="GW99" s="21"/>
      <c r="GX99" s="21"/>
      <c r="GY99" s="21"/>
      <c r="GZ99" s="21"/>
      <c r="HA99" s="21"/>
      <c r="HB99" s="21"/>
      <c r="HC99" s="21"/>
      <c r="HD99" s="21"/>
      <c r="HE99" s="21"/>
      <c r="HF99" s="21"/>
      <c r="HG99" s="21"/>
      <c r="HH99" s="21"/>
      <c r="HI99" s="21"/>
      <c r="HJ99" s="21"/>
      <c r="HK99" s="21"/>
      <c r="HL99" s="21"/>
      <c r="HM99" s="21"/>
      <c r="HN99" s="21"/>
      <c r="HO99" s="21"/>
      <c r="HP99" s="21"/>
      <c r="HQ99" s="21"/>
      <c r="HR99" s="21"/>
      <c r="HS99" s="21"/>
      <c r="HT99" s="21"/>
      <c r="HU99" s="21"/>
      <c r="HV99" s="21"/>
      <c r="HW99" s="21"/>
      <c r="HX99" s="21"/>
      <c r="HY99" s="21"/>
      <c r="HZ99" s="21"/>
      <c r="IA99" s="21"/>
      <c r="IB99" s="21"/>
      <c r="IC99" s="21"/>
      <c r="ID99" s="21"/>
      <c r="IE99" s="21"/>
      <c r="IF99" s="21"/>
      <c r="IG99" s="21"/>
      <c r="IH99" s="21"/>
      <c r="II99" s="21"/>
      <c r="IJ99" s="21"/>
      <c r="IK99" s="21"/>
      <c r="IL99" s="21"/>
      <c r="IM99" s="21"/>
      <c r="IN99" s="21"/>
      <c r="IO99" s="21"/>
      <c r="IP99" s="21"/>
      <c r="IQ99" s="21"/>
      <c r="IR99" s="21"/>
      <c r="IS99" s="21"/>
      <c r="IT99" s="21"/>
      <c r="IU99" s="21"/>
      <c r="IV99" s="21"/>
      <c r="IW99" s="21"/>
      <c r="IX99" s="21"/>
      <c r="IY99" s="21"/>
      <c r="IZ99" s="21"/>
      <c r="JA99" s="21"/>
      <c r="JB99" s="21"/>
      <c r="JC99" s="21"/>
      <c r="JD99" s="21"/>
      <c r="JE99" s="21"/>
      <c r="JF99" s="21"/>
      <c r="JG99" s="21"/>
      <c r="JH99" s="21"/>
      <c r="JI99" s="21"/>
      <c r="JJ99" s="21"/>
      <c r="JK99" s="21"/>
      <c r="JL99" s="21"/>
      <c r="JM99" s="21"/>
      <c r="JN99" s="21"/>
      <c r="JO99" s="21"/>
      <c r="JP99" s="21"/>
      <c r="JQ99" s="21"/>
      <c r="JR99" s="21"/>
      <c r="JS99" s="21"/>
      <c r="JT99" s="21"/>
      <c r="JU99" s="21"/>
      <c r="JV99" s="21"/>
      <c r="JW99" s="21"/>
      <c r="JX99" s="21"/>
      <c r="JY99" s="21"/>
      <c r="JZ99" s="21"/>
      <c r="KA99" s="21"/>
      <c r="KB99" s="21"/>
      <c r="KC99" s="21"/>
      <c r="KD99" s="21"/>
      <c r="KE99" s="21"/>
      <c r="KF99" s="21"/>
      <c r="KG99" s="21"/>
      <c r="KH99" s="21"/>
      <c r="KI99" s="21"/>
      <c r="KJ99" s="21"/>
      <c r="KK99" s="21"/>
      <c r="KL99" s="21"/>
      <c r="KM99" s="21"/>
      <c r="KN99" s="21"/>
      <c r="KO99" s="21"/>
      <c r="KP99" s="21"/>
      <c r="KQ99" s="21"/>
      <c r="KR99" s="21"/>
      <c r="KS99" s="21"/>
      <c r="KT99" s="21"/>
      <c r="KU99" s="21"/>
      <c r="KV99" s="21"/>
      <c r="KW99" s="21"/>
      <c r="KX99" s="21"/>
      <c r="KY99" s="21"/>
      <c r="KZ99" s="21"/>
      <c r="LA99" s="21"/>
      <c r="LB99" s="21"/>
      <c r="LC99" s="21"/>
      <c r="LD99" s="21"/>
      <c r="LE99" s="21"/>
      <c r="LF99" s="21"/>
      <c r="LG99" s="21"/>
      <c r="LH99" s="21"/>
      <c r="LI99" s="21"/>
      <c r="LJ99" s="21"/>
      <c r="LK99" s="21"/>
      <c r="LL99" s="21"/>
      <c r="LM99" s="21"/>
      <c r="LN99" s="21"/>
      <c r="LO99" s="21"/>
      <c r="LP99" s="21"/>
      <c r="LQ99" s="21"/>
      <c r="LR99" s="21"/>
      <c r="LS99" s="21"/>
      <c r="LT99" s="21"/>
      <c r="LU99" s="21"/>
      <c r="LV99" s="21"/>
      <c r="LW99" s="21"/>
      <c r="LX99" s="21"/>
      <c r="LY99" s="21"/>
      <c r="LZ99" s="21"/>
      <c r="MA99" s="21"/>
      <c r="MB99" s="21"/>
      <c r="MC99" s="21"/>
      <c r="MD99" s="21"/>
      <c r="ME99" s="21"/>
      <c r="MF99" s="21"/>
      <c r="MG99" s="21"/>
      <c r="MH99" s="21"/>
      <c r="MI99" s="21"/>
      <c r="MJ99" s="21"/>
      <c r="MK99" s="21"/>
      <c r="ML99" s="21"/>
      <c r="MM99" s="21"/>
      <c r="MN99" s="21"/>
      <c r="MO99" s="21"/>
      <c r="MP99" s="21"/>
      <c r="MQ99" s="21"/>
      <c r="MR99" s="21"/>
      <c r="MS99" s="21"/>
      <c r="MT99" s="21"/>
      <c r="MU99" s="21"/>
      <c r="MV99" s="21"/>
      <c r="MW99" s="21"/>
      <c r="MX99" s="21"/>
      <c r="MY99" s="21"/>
      <c r="MZ99" s="21"/>
      <c r="NA99" s="21"/>
      <c r="NB99" s="21"/>
      <c r="NC99" s="21"/>
      <c r="ND99" s="21"/>
      <c r="NE99" s="21"/>
      <c r="NF99" s="21"/>
      <c r="NG99" s="21"/>
      <c r="NH99" s="21"/>
      <c r="NI99" s="21"/>
      <c r="NJ99" s="21"/>
      <c r="NK99" s="21"/>
      <c r="NL99" s="21"/>
      <c r="NM99" s="21"/>
      <c r="NN99" s="21"/>
      <c r="NO99" s="21"/>
      <c r="NP99" s="21"/>
      <c r="NQ99" s="21"/>
      <c r="NR99" s="21"/>
      <c r="NS99" s="21"/>
      <c r="NT99" s="21"/>
      <c r="NU99" s="21"/>
      <c r="NV99" s="21"/>
      <c r="NW99" s="21"/>
      <c r="NX99" s="21"/>
      <c r="NY99" s="21"/>
      <c r="NZ99" s="21"/>
      <c r="OA99" s="21"/>
      <c r="OB99" s="21"/>
      <c r="OC99" s="21"/>
      <c r="OD99" s="21"/>
      <c r="OE99" s="21"/>
      <c r="OF99" s="21"/>
      <c r="OG99" s="21"/>
      <c r="OH99" s="21"/>
      <c r="OI99" s="21"/>
      <c r="OJ99" s="21"/>
      <c r="OK99" s="21"/>
      <c r="OL99" s="21"/>
      <c r="OM99" s="21"/>
      <c r="ON99" s="21"/>
      <c r="OO99" s="21"/>
      <c r="OP99" s="21"/>
      <c r="OQ99" s="21"/>
      <c r="OR99" s="21"/>
      <c r="OS99" s="21"/>
      <c r="OT99" s="21"/>
      <c r="OU99" s="21"/>
      <c r="OV99" s="21"/>
      <c r="OW99" s="21"/>
      <c r="OX99" s="21"/>
      <c r="OY99" s="21"/>
      <c r="OZ99" s="21"/>
      <c r="PA99" s="21"/>
      <c r="PB99" s="21"/>
      <c r="PC99" s="21"/>
      <c r="PD99" s="21"/>
      <c r="PE99" s="21"/>
      <c r="PF99" s="21"/>
      <c r="PG99" s="21"/>
      <c r="PH99" s="21"/>
      <c r="PI99" s="21"/>
      <c r="PJ99" s="21"/>
      <c r="PK99" s="21"/>
      <c r="PL99" s="21"/>
      <c r="PM99" s="21"/>
      <c r="PN99" s="21"/>
      <c r="PO99" s="21"/>
      <c r="PP99" s="21"/>
      <c r="PQ99" s="21"/>
      <c r="PR99" s="21"/>
      <c r="PS99" s="21"/>
      <c r="PT99" s="21"/>
      <c r="PU99" s="21"/>
      <c r="PV99" s="21"/>
      <c r="PW99" s="21"/>
      <c r="PX99" s="21"/>
      <c r="PY99" s="21"/>
      <c r="PZ99" s="21"/>
      <c r="QA99" s="21"/>
      <c r="QB99" s="21"/>
      <c r="QC99" s="21"/>
      <c r="QD99" s="21"/>
      <c r="QE99" s="21"/>
      <c r="QF99" s="21"/>
      <c r="QG99" s="21"/>
      <c r="QH99" s="21"/>
      <c r="QI99" s="21"/>
      <c r="QJ99" s="21"/>
      <c r="QK99" s="21"/>
      <c r="QL99" s="21"/>
      <c r="QM99" s="21"/>
      <c r="QN99" s="21"/>
      <c r="QO99" s="21"/>
      <c r="QP99" s="21"/>
      <c r="QQ99" s="21"/>
      <c r="QR99" s="21"/>
      <c r="QS99" s="21"/>
      <c r="QT99" s="21"/>
      <c r="QU99" s="21"/>
      <c r="QV99" s="21"/>
      <c r="QW99" s="21"/>
      <c r="QX99" s="21"/>
      <c r="QY99" s="21"/>
      <c r="QZ99" s="21"/>
      <c r="RA99" s="21"/>
      <c r="RB99" s="21"/>
      <c r="RC99" s="21"/>
      <c r="RD99" s="21"/>
      <c r="RE99" s="21"/>
      <c r="RF99" s="21"/>
      <c r="RG99" s="21"/>
      <c r="RH99" s="21"/>
      <c r="RI99" s="21"/>
      <c r="RJ99" s="21"/>
      <c r="RK99" s="21"/>
      <c r="RL99" s="21"/>
      <c r="RM99" s="21"/>
      <c r="RN99" s="21"/>
      <c r="RO99" s="21"/>
      <c r="RP99" s="21"/>
      <c r="RQ99" s="21"/>
      <c r="RR99" s="21"/>
      <c r="RS99" s="21"/>
      <c r="RT99" s="21"/>
      <c r="RU99" s="21"/>
      <c r="RV99" s="21"/>
      <c r="RW99" s="21"/>
      <c r="RX99" s="21"/>
      <c r="RY99" s="21"/>
      <c r="RZ99" s="21"/>
      <c r="SA99" s="21"/>
      <c r="SB99" s="21"/>
      <c r="SC99" s="21"/>
      <c r="SD99" s="21"/>
      <c r="SE99" s="21"/>
      <c r="SF99" s="21"/>
      <c r="SG99" s="21"/>
      <c r="SH99" s="21"/>
      <c r="SI99" s="21"/>
      <c r="SJ99" s="21"/>
      <c r="SK99" s="21"/>
      <c r="SL99" s="21"/>
      <c r="SM99" s="21"/>
      <c r="SN99" s="21"/>
      <c r="SO99" s="21"/>
      <c r="SP99" s="21"/>
      <c r="SQ99" s="21"/>
      <c r="SR99" s="21"/>
      <c r="SS99" s="21"/>
      <c r="ST99" s="21"/>
      <c r="SU99" s="21"/>
      <c r="SV99" s="21"/>
      <c r="SW99" s="21"/>
      <c r="SX99" s="21"/>
      <c r="SY99" s="21"/>
      <c r="SZ99" s="21"/>
      <c r="TA99" s="21"/>
      <c r="TB99" s="21"/>
      <c r="TC99" s="21"/>
      <c r="TD99" s="21"/>
      <c r="TE99" s="21"/>
      <c r="TF99" s="21"/>
      <c r="TG99" s="21"/>
      <c r="TH99" s="21"/>
      <c r="TI99" s="21"/>
      <c r="TJ99" s="21"/>
      <c r="TK99" s="21"/>
      <c r="TL99" s="21"/>
      <c r="TM99" s="21"/>
      <c r="TN99" s="21"/>
      <c r="TO99" s="21"/>
      <c r="TP99" s="21"/>
      <c r="TQ99" s="21"/>
      <c r="TR99" s="21"/>
      <c r="TS99" s="21"/>
      <c r="TT99" s="21"/>
      <c r="TU99" s="21"/>
      <c r="TV99" s="21"/>
      <c r="TW99" s="21"/>
      <c r="TX99" s="21"/>
      <c r="TY99" s="21"/>
      <c r="TZ99" s="21"/>
      <c r="UA99" s="21"/>
      <c r="UB99" s="21"/>
      <c r="UC99" s="21"/>
      <c r="UD99" s="21"/>
      <c r="UE99" s="21"/>
      <c r="UF99" s="21"/>
      <c r="UG99" s="21"/>
      <c r="UH99" s="21"/>
      <c r="UI99" s="21"/>
      <c r="UJ99" s="21"/>
      <c r="UK99" s="21"/>
      <c r="UL99" s="21"/>
      <c r="UM99" s="21"/>
      <c r="UN99" s="21"/>
      <c r="UO99" s="21"/>
      <c r="UP99" s="21"/>
      <c r="UQ99" s="21"/>
      <c r="UR99" s="21"/>
      <c r="US99" s="21"/>
      <c r="UT99" s="21"/>
      <c r="UU99" s="21"/>
      <c r="UV99" s="21"/>
      <c r="UW99" s="21"/>
      <c r="UX99" s="21"/>
      <c r="UY99" s="21"/>
      <c r="UZ99" s="21"/>
      <c r="VA99" s="21"/>
      <c r="VB99" s="21"/>
      <c r="VC99" s="21"/>
      <c r="VD99" s="21"/>
      <c r="VE99" s="21"/>
      <c r="VF99" s="21"/>
      <c r="VG99" s="21"/>
      <c r="VH99" s="21"/>
      <c r="VI99" s="21"/>
      <c r="VJ99" s="21"/>
      <c r="VK99" s="21"/>
      <c r="VL99" s="21"/>
      <c r="VM99" s="21"/>
      <c r="VN99" s="21"/>
      <c r="VO99" s="21"/>
      <c r="VP99" s="21"/>
      <c r="VQ99" s="21"/>
      <c r="VR99" s="21"/>
      <c r="VS99" s="21"/>
      <c r="VT99" s="21"/>
      <c r="VU99" s="21"/>
      <c r="VV99" s="21"/>
      <c r="VW99" s="21"/>
      <c r="VX99" s="21"/>
      <c r="VY99" s="21"/>
      <c r="VZ99" s="21"/>
      <c r="WA99" s="21"/>
      <c r="WB99" s="21"/>
      <c r="WC99" s="21"/>
      <c r="WD99" s="21"/>
      <c r="WE99" s="21"/>
      <c r="WF99" s="21"/>
      <c r="WG99" s="21"/>
      <c r="WH99" s="21"/>
      <c r="WI99" s="21"/>
      <c r="WJ99" s="21"/>
      <c r="WK99" s="21"/>
      <c r="WL99" s="21"/>
      <c r="WM99" s="21"/>
      <c r="WN99" s="21"/>
      <c r="WO99" s="21"/>
      <c r="WP99" s="21"/>
      <c r="WQ99" s="21"/>
      <c r="WR99" s="21"/>
      <c r="WS99" s="21"/>
      <c r="WT99" s="21"/>
      <c r="WU99" s="21"/>
      <c r="WV99" s="21"/>
      <c r="WW99" s="21"/>
      <c r="WX99" s="21"/>
      <c r="WY99" s="21"/>
      <c r="WZ99" s="21"/>
      <c r="XA99" s="21"/>
      <c r="XB99" s="21"/>
      <c r="XC99" s="21"/>
      <c r="XD99" s="21"/>
      <c r="XE99" s="21"/>
      <c r="XF99" s="21"/>
      <c r="XG99" s="21"/>
      <c r="XH99" s="21"/>
      <c r="XI99" s="21"/>
      <c r="XJ99" s="21"/>
      <c r="XK99" s="21"/>
      <c r="XL99" s="21"/>
      <c r="XM99" s="21"/>
      <c r="XN99" s="21"/>
      <c r="XO99" s="21"/>
      <c r="XP99" s="21"/>
      <c r="XQ99" s="21"/>
      <c r="XR99" s="21"/>
      <c r="XS99" s="21"/>
      <c r="XT99" s="21"/>
      <c r="XU99" s="21"/>
      <c r="XV99" s="21"/>
      <c r="XW99" s="21"/>
      <c r="XX99" s="21"/>
      <c r="XY99" s="21"/>
      <c r="XZ99" s="21"/>
      <c r="YA99" s="21"/>
      <c r="YB99" s="21"/>
      <c r="YC99" s="21"/>
      <c r="YD99" s="21"/>
      <c r="YE99" s="21"/>
      <c r="YF99" s="21"/>
      <c r="YG99" s="21"/>
      <c r="YH99" s="21"/>
      <c r="YI99" s="21"/>
      <c r="YJ99" s="21"/>
      <c r="YK99" s="21"/>
      <c r="YL99" s="21"/>
      <c r="YM99" s="21"/>
      <c r="YN99" s="21"/>
      <c r="YO99" s="21"/>
      <c r="YP99" s="21"/>
      <c r="YQ99" s="21"/>
      <c r="YR99" s="21"/>
      <c r="YS99" s="21"/>
      <c r="YT99" s="21"/>
      <c r="YU99" s="21"/>
      <c r="YV99" s="21"/>
      <c r="YW99" s="21"/>
      <c r="YX99" s="21"/>
      <c r="YY99" s="21"/>
      <c r="YZ99" s="21"/>
      <c r="ZA99" s="21"/>
      <c r="ZB99" s="21"/>
      <c r="ZC99" s="21"/>
      <c r="ZD99" s="21"/>
      <c r="ZE99" s="21"/>
      <c r="ZF99" s="21"/>
      <c r="ZG99" s="21"/>
      <c r="ZH99" s="21"/>
      <c r="ZI99" s="21"/>
      <c r="ZJ99" s="21"/>
      <c r="ZK99" s="21"/>
      <c r="ZL99" s="21"/>
      <c r="ZM99" s="21"/>
      <c r="ZN99" s="21"/>
      <c r="ZO99" s="21"/>
      <c r="ZP99" s="21"/>
      <c r="ZQ99" s="21"/>
      <c r="ZR99" s="21"/>
      <c r="ZS99" s="21"/>
      <c r="ZT99" s="21"/>
      <c r="ZU99" s="21"/>
      <c r="ZV99" s="21"/>
      <c r="ZW99" s="21"/>
      <c r="ZX99" s="21"/>
      <c r="ZY99" s="21"/>
      <c r="ZZ99" s="21"/>
      <c r="AAA99" s="21"/>
      <c r="AAB99" s="21"/>
      <c r="AAC99" s="21"/>
      <c r="AAD99" s="21"/>
      <c r="AAE99" s="21"/>
      <c r="AAF99" s="21"/>
      <c r="AAG99" s="21"/>
      <c r="AAH99" s="21"/>
      <c r="AAI99" s="21"/>
      <c r="AAJ99" s="21"/>
      <c r="AAK99" s="21"/>
      <c r="AAL99" s="21"/>
      <c r="AAM99" s="21"/>
      <c r="AAN99" s="21"/>
      <c r="AAO99" s="21"/>
      <c r="AAP99" s="21"/>
      <c r="AAQ99" s="21"/>
      <c r="AAR99" s="21"/>
      <c r="AAS99" s="21"/>
      <c r="AAT99" s="21"/>
      <c r="AAU99" s="21"/>
      <c r="AAV99" s="21"/>
      <c r="AAW99" s="21"/>
      <c r="AAX99" s="21"/>
      <c r="AAY99" s="21"/>
      <c r="AAZ99" s="21"/>
      <c r="ABA99" s="21"/>
      <c r="ABB99" s="21"/>
      <c r="ABC99" s="21"/>
      <c r="ABD99" s="21"/>
      <c r="ABE99" s="21"/>
      <c r="ABF99" s="21"/>
      <c r="ABG99" s="21"/>
      <c r="ABH99" s="21"/>
      <c r="ABI99" s="21"/>
      <c r="ABJ99" s="21"/>
      <c r="ABK99" s="21"/>
      <c r="ABL99" s="21"/>
      <c r="ABM99" s="21"/>
      <c r="ABN99" s="21"/>
      <c r="ABO99" s="21"/>
      <c r="ABP99" s="21"/>
      <c r="ABQ99" s="21"/>
      <c r="ABR99" s="21"/>
      <c r="ABS99" s="21"/>
      <c r="ABT99" s="21"/>
      <c r="ABU99" s="21"/>
      <c r="ABV99" s="21"/>
      <c r="ABW99" s="21"/>
      <c r="ABX99" s="21"/>
      <c r="ABY99" s="21"/>
      <c r="ABZ99" s="21"/>
      <c r="ACA99" s="21"/>
      <c r="ACB99" s="21"/>
      <c r="ACC99" s="21"/>
      <c r="ACD99" s="21"/>
      <c r="ACE99" s="21"/>
      <c r="ACF99" s="21"/>
      <c r="ACG99" s="21"/>
      <c r="ACH99" s="21"/>
      <c r="ACI99" s="21"/>
      <c r="ACJ99" s="21"/>
      <c r="ACK99" s="21"/>
      <c r="ACL99" s="21"/>
      <c r="ACM99" s="21"/>
      <c r="ACN99" s="21"/>
      <c r="ACO99" s="21"/>
      <c r="ACP99" s="21"/>
      <c r="ACQ99" s="21"/>
      <c r="ACR99" s="21"/>
      <c r="ACS99" s="21"/>
      <c r="ACT99" s="21"/>
      <c r="ACU99" s="21"/>
      <c r="ACV99" s="21"/>
      <c r="ACW99" s="21"/>
      <c r="ACX99" s="21"/>
      <c r="ACY99" s="21"/>
      <c r="ACZ99" s="21"/>
      <c r="ADA99" s="21"/>
      <c r="ADB99" s="21"/>
      <c r="ADC99" s="21"/>
      <c r="ADD99" s="21"/>
      <c r="ADE99" s="21"/>
      <c r="ADF99" s="21"/>
      <c r="ADG99" s="21"/>
      <c r="ADH99" s="21"/>
      <c r="ADI99" s="21"/>
      <c r="ADJ99" s="21"/>
      <c r="ADK99" s="21"/>
      <c r="ADL99" s="21"/>
      <c r="ADM99" s="21"/>
      <c r="ADN99" s="21"/>
      <c r="ADO99" s="21"/>
      <c r="ADP99" s="21"/>
      <c r="ADQ99" s="21"/>
      <c r="ADR99" s="21"/>
      <c r="ADS99" s="21"/>
      <c r="ADT99" s="21"/>
      <c r="ADU99" s="21"/>
      <c r="ADV99" s="21"/>
      <c r="ADW99" s="21"/>
      <c r="ADX99" s="21"/>
      <c r="ADY99" s="21"/>
      <c r="ADZ99" s="21"/>
      <c r="AEA99" s="21"/>
      <c r="AEB99" s="21"/>
      <c r="AEC99" s="21"/>
      <c r="AED99" s="21"/>
      <c r="AEE99" s="21"/>
      <c r="AEF99" s="21"/>
      <c r="AEG99" s="21"/>
    </row>
    <row r="100" spans="1:813" s="93" customFormat="1" ht="45" x14ac:dyDescent="0.25">
      <c r="A100" s="91">
        <v>36</v>
      </c>
      <c r="B100" s="63" t="s">
        <v>271</v>
      </c>
      <c r="C100" s="38" t="s">
        <v>270</v>
      </c>
      <c r="D100" s="63" t="s">
        <v>269</v>
      </c>
      <c r="E100" s="36" t="s">
        <v>268</v>
      </c>
      <c r="F100" s="111">
        <v>6</v>
      </c>
      <c r="G100" s="32">
        <f>442/2</f>
        <v>221</v>
      </c>
      <c r="H100" s="33">
        <f t="shared" si="32"/>
        <v>1330</v>
      </c>
      <c r="I100" s="32">
        <f>508/2</f>
        <v>254</v>
      </c>
      <c r="J100" s="33">
        <f t="shared" si="22"/>
        <v>1520</v>
      </c>
      <c r="K100" s="32">
        <f>959/2</f>
        <v>479.5</v>
      </c>
      <c r="L100" s="33">
        <f t="shared" si="23"/>
        <v>2880</v>
      </c>
      <c r="M100" s="32">
        <f>2523/2</f>
        <v>1261.5</v>
      </c>
      <c r="N100" s="33">
        <f t="shared" si="33"/>
        <v>7570</v>
      </c>
      <c r="O100" s="32">
        <f>672/2</f>
        <v>336</v>
      </c>
      <c r="P100" s="33">
        <f t="shared" si="24"/>
        <v>2020</v>
      </c>
      <c r="Q100" s="32">
        <f>893/2</f>
        <v>446.5</v>
      </c>
      <c r="R100" s="33">
        <f t="shared" si="25"/>
        <v>2680</v>
      </c>
      <c r="S100" s="32">
        <f>1475/2</f>
        <v>737.5</v>
      </c>
      <c r="T100" s="33">
        <f t="shared" si="34"/>
        <v>4430</v>
      </c>
      <c r="U100" s="32">
        <f>463/2</f>
        <v>231.5</v>
      </c>
      <c r="V100" s="33">
        <f t="shared" si="26"/>
        <v>1390</v>
      </c>
      <c r="W100" s="32">
        <f>122/2</f>
        <v>61</v>
      </c>
      <c r="X100" s="33">
        <f t="shared" si="27"/>
        <v>370</v>
      </c>
      <c r="Y100" s="32">
        <f>1057/2</f>
        <v>528.5</v>
      </c>
      <c r="Z100" s="33">
        <f t="shared" si="28"/>
        <v>3170</v>
      </c>
      <c r="AA100" s="32">
        <f>481/2</f>
        <v>240.5</v>
      </c>
      <c r="AB100" s="33">
        <f t="shared" si="29"/>
        <v>1440</v>
      </c>
      <c r="AC100" s="32">
        <f>292/2</f>
        <v>146</v>
      </c>
      <c r="AD100" s="33">
        <f t="shared" si="30"/>
        <v>880</v>
      </c>
      <c r="AE100" s="32"/>
      <c r="AF100" s="33">
        <f t="shared" si="31"/>
        <v>29680</v>
      </c>
      <c r="AG100" s="33">
        <v>0</v>
      </c>
      <c r="AH100" s="33">
        <v>0</v>
      </c>
      <c r="AI100" s="32">
        <f t="shared" ref="AI100:AI110" si="35">ROUND(AG100*AH100,-1)</f>
        <v>0</v>
      </c>
      <c r="AJ100" s="31">
        <v>1630513.9105665253</v>
      </c>
      <c r="AK100" s="31">
        <v>132816.38841670152</v>
      </c>
      <c r="AL100" s="31">
        <v>1763330.2989832268</v>
      </c>
      <c r="AM100" s="30" t="s">
        <v>18</v>
      </c>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c r="EG100" s="21"/>
      <c r="EH100" s="21"/>
      <c r="EI100" s="21"/>
      <c r="EJ100" s="21"/>
      <c r="EK100" s="21"/>
      <c r="EL100" s="21"/>
      <c r="EM100" s="21"/>
      <c r="EN100" s="21"/>
      <c r="EO100" s="21"/>
      <c r="EP100" s="21"/>
      <c r="EQ100" s="21"/>
      <c r="ER100" s="21"/>
      <c r="ES100" s="21"/>
      <c r="ET100" s="21"/>
      <c r="EU100" s="21"/>
      <c r="EV100" s="21"/>
      <c r="EW100" s="21"/>
      <c r="EX100" s="21"/>
      <c r="EY100" s="21"/>
      <c r="EZ100" s="21"/>
      <c r="FA100" s="21"/>
      <c r="FB100" s="21"/>
      <c r="FC100" s="21"/>
      <c r="FD100" s="21"/>
      <c r="FE100" s="21"/>
      <c r="FF100" s="21"/>
      <c r="FG100" s="21"/>
      <c r="FH100" s="21"/>
      <c r="FI100" s="21"/>
      <c r="FJ100" s="21"/>
      <c r="FK100" s="21"/>
      <c r="FL100" s="21"/>
      <c r="FM100" s="21"/>
      <c r="FN100" s="21"/>
      <c r="FO100" s="21"/>
      <c r="FP100" s="21"/>
      <c r="FQ100" s="21"/>
      <c r="FR100" s="21"/>
      <c r="FS100" s="21"/>
      <c r="FT100" s="21"/>
      <c r="FU100" s="21"/>
      <c r="FV100" s="21"/>
      <c r="FW100" s="21"/>
      <c r="FX100" s="21"/>
      <c r="FY100" s="21"/>
      <c r="FZ100" s="21"/>
      <c r="GA100" s="21"/>
      <c r="GB100" s="21"/>
      <c r="GC100" s="21"/>
      <c r="GD100" s="21"/>
      <c r="GE100" s="21"/>
      <c r="GF100" s="21"/>
      <c r="GG100" s="21"/>
      <c r="GH100" s="21"/>
      <c r="GI100" s="21"/>
      <c r="GJ100" s="21"/>
      <c r="GK100" s="21"/>
      <c r="GL100" s="21"/>
      <c r="GM100" s="21"/>
      <c r="GN100" s="21"/>
      <c r="GO100" s="21"/>
      <c r="GP100" s="21"/>
      <c r="GQ100" s="21"/>
      <c r="GR100" s="21"/>
      <c r="GS100" s="21"/>
      <c r="GT100" s="21"/>
      <c r="GU100" s="21"/>
      <c r="GV100" s="21"/>
      <c r="GW100" s="21"/>
      <c r="GX100" s="21"/>
      <c r="GY100" s="21"/>
      <c r="GZ100" s="21"/>
      <c r="HA100" s="21"/>
      <c r="HB100" s="21"/>
      <c r="HC100" s="21"/>
      <c r="HD100" s="21"/>
      <c r="HE100" s="21"/>
      <c r="HF100" s="21"/>
      <c r="HG100" s="21"/>
      <c r="HH100" s="21"/>
      <c r="HI100" s="21"/>
      <c r="HJ100" s="21"/>
      <c r="HK100" s="21"/>
      <c r="HL100" s="21"/>
      <c r="HM100" s="21"/>
      <c r="HN100" s="21"/>
      <c r="HO100" s="21"/>
      <c r="HP100" s="21"/>
      <c r="HQ100" s="21"/>
      <c r="HR100" s="21"/>
      <c r="HS100" s="21"/>
      <c r="HT100" s="21"/>
      <c r="HU100" s="21"/>
      <c r="HV100" s="21"/>
      <c r="HW100" s="21"/>
      <c r="HX100" s="21"/>
      <c r="HY100" s="21"/>
      <c r="HZ100" s="21"/>
      <c r="IA100" s="21"/>
      <c r="IB100" s="21"/>
      <c r="IC100" s="21"/>
      <c r="ID100" s="21"/>
      <c r="IE100" s="21"/>
      <c r="IF100" s="21"/>
      <c r="IG100" s="21"/>
      <c r="IH100" s="21"/>
      <c r="II100" s="21"/>
      <c r="IJ100" s="21"/>
      <c r="IK100" s="21"/>
      <c r="IL100" s="21"/>
      <c r="IM100" s="21"/>
      <c r="IN100" s="21"/>
      <c r="IO100" s="21"/>
      <c r="IP100" s="21"/>
      <c r="IQ100" s="21"/>
      <c r="IR100" s="21"/>
      <c r="IS100" s="21"/>
      <c r="IT100" s="21"/>
      <c r="IU100" s="21"/>
      <c r="IV100" s="21"/>
      <c r="IW100" s="21"/>
      <c r="IX100" s="21"/>
      <c r="IY100" s="21"/>
      <c r="IZ100" s="21"/>
      <c r="JA100" s="21"/>
      <c r="JB100" s="21"/>
      <c r="JC100" s="21"/>
      <c r="JD100" s="21"/>
      <c r="JE100" s="21"/>
      <c r="JF100" s="21"/>
      <c r="JG100" s="21"/>
      <c r="JH100" s="21"/>
      <c r="JI100" s="21"/>
      <c r="JJ100" s="21"/>
      <c r="JK100" s="21"/>
      <c r="JL100" s="21"/>
      <c r="JM100" s="21"/>
      <c r="JN100" s="21"/>
      <c r="JO100" s="21"/>
      <c r="JP100" s="21"/>
      <c r="JQ100" s="21"/>
      <c r="JR100" s="21"/>
      <c r="JS100" s="21"/>
      <c r="JT100" s="21"/>
      <c r="JU100" s="21"/>
      <c r="JV100" s="21"/>
      <c r="JW100" s="21"/>
      <c r="JX100" s="21"/>
      <c r="JY100" s="21"/>
      <c r="JZ100" s="21"/>
      <c r="KA100" s="21"/>
      <c r="KB100" s="21"/>
      <c r="KC100" s="21"/>
      <c r="KD100" s="21"/>
      <c r="KE100" s="21"/>
      <c r="KF100" s="21"/>
      <c r="KG100" s="21"/>
      <c r="KH100" s="21"/>
      <c r="KI100" s="21"/>
      <c r="KJ100" s="21"/>
      <c r="KK100" s="21"/>
      <c r="KL100" s="21"/>
      <c r="KM100" s="21"/>
      <c r="KN100" s="21"/>
      <c r="KO100" s="21"/>
      <c r="KP100" s="21"/>
      <c r="KQ100" s="21"/>
      <c r="KR100" s="21"/>
      <c r="KS100" s="21"/>
      <c r="KT100" s="21"/>
      <c r="KU100" s="21"/>
      <c r="KV100" s="21"/>
      <c r="KW100" s="21"/>
      <c r="KX100" s="21"/>
      <c r="KY100" s="21"/>
      <c r="KZ100" s="21"/>
      <c r="LA100" s="21"/>
      <c r="LB100" s="21"/>
      <c r="LC100" s="21"/>
      <c r="LD100" s="21"/>
      <c r="LE100" s="21"/>
      <c r="LF100" s="21"/>
      <c r="LG100" s="21"/>
      <c r="LH100" s="21"/>
      <c r="LI100" s="21"/>
      <c r="LJ100" s="21"/>
      <c r="LK100" s="21"/>
      <c r="LL100" s="21"/>
      <c r="LM100" s="21"/>
      <c r="LN100" s="21"/>
      <c r="LO100" s="21"/>
      <c r="LP100" s="21"/>
      <c r="LQ100" s="21"/>
      <c r="LR100" s="21"/>
      <c r="LS100" s="21"/>
      <c r="LT100" s="21"/>
      <c r="LU100" s="21"/>
      <c r="LV100" s="21"/>
      <c r="LW100" s="21"/>
      <c r="LX100" s="21"/>
      <c r="LY100" s="21"/>
      <c r="LZ100" s="21"/>
      <c r="MA100" s="21"/>
      <c r="MB100" s="21"/>
      <c r="MC100" s="21"/>
      <c r="MD100" s="21"/>
      <c r="ME100" s="21"/>
      <c r="MF100" s="21"/>
      <c r="MG100" s="21"/>
      <c r="MH100" s="21"/>
      <c r="MI100" s="21"/>
      <c r="MJ100" s="21"/>
      <c r="MK100" s="21"/>
      <c r="ML100" s="21"/>
      <c r="MM100" s="21"/>
      <c r="MN100" s="21"/>
      <c r="MO100" s="21"/>
      <c r="MP100" s="21"/>
      <c r="MQ100" s="21"/>
      <c r="MR100" s="21"/>
      <c r="MS100" s="21"/>
      <c r="MT100" s="21"/>
      <c r="MU100" s="21"/>
      <c r="MV100" s="21"/>
      <c r="MW100" s="21"/>
      <c r="MX100" s="21"/>
      <c r="MY100" s="21"/>
      <c r="MZ100" s="21"/>
      <c r="NA100" s="21"/>
      <c r="NB100" s="21"/>
      <c r="NC100" s="21"/>
      <c r="ND100" s="21"/>
      <c r="NE100" s="21"/>
      <c r="NF100" s="21"/>
      <c r="NG100" s="21"/>
      <c r="NH100" s="21"/>
      <c r="NI100" s="21"/>
      <c r="NJ100" s="21"/>
      <c r="NK100" s="21"/>
      <c r="NL100" s="21"/>
      <c r="NM100" s="21"/>
      <c r="NN100" s="21"/>
      <c r="NO100" s="21"/>
      <c r="NP100" s="21"/>
      <c r="NQ100" s="21"/>
      <c r="NR100" s="21"/>
      <c r="NS100" s="21"/>
      <c r="NT100" s="21"/>
      <c r="NU100" s="21"/>
      <c r="NV100" s="21"/>
      <c r="NW100" s="21"/>
      <c r="NX100" s="21"/>
      <c r="NY100" s="21"/>
      <c r="NZ100" s="21"/>
      <c r="OA100" s="21"/>
      <c r="OB100" s="21"/>
      <c r="OC100" s="21"/>
      <c r="OD100" s="21"/>
      <c r="OE100" s="21"/>
      <c r="OF100" s="21"/>
      <c r="OG100" s="21"/>
      <c r="OH100" s="21"/>
      <c r="OI100" s="21"/>
      <c r="OJ100" s="21"/>
      <c r="OK100" s="21"/>
      <c r="OL100" s="21"/>
      <c r="OM100" s="21"/>
      <c r="ON100" s="21"/>
      <c r="OO100" s="21"/>
      <c r="OP100" s="21"/>
      <c r="OQ100" s="21"/>
      <c r="OR100" s="21"/>
      <c r="OS100" s="21"/>
      <c r="OT100" s="21"/>
      <c r="OU100" s="21"/>
      <c r="OV100" s="21"/>
      <c r="OW100" s="21"/>
      <c r="OX100" s="21"/>
      <c r="OY100" s="21"/>
      <c r="OZ100" s="21"/>
      <c r="PA100" s="21"/>
      <c r="PB100" s="21"/>
      <c r="PC100" s="21"/>
      <c r="PD100" s="21"/>
      <c r="PE100" s="21"/>
      <c r="PF100" s="21"/>
      <c r="PG100" s="21"/>
      <c r="PH100" s="21"/>
      <c r="PI100" s="21"/>
      <c r="PJ100" s="21"/>
      <c r="PK100" s="21"/>
      <c r="PL100" s="21"/>
      <c r="PM100" s="21"/>
      <c r="PN100" s="21"/>
      <c r="PO100" s="21"/>
      <c r="PP100" s="21"/>
      <c r="PQ100" s="21"/>
      <c r="PR100" s="21"/>
      <c r="PS100" s="21"/>
      <c r="PT100" s="21"/>
      <c r="PU100" s="21"/>
      <c r="PV100" s="21"/>
      <c r="PW100" s="21"/>
      <c r="PX100" s="21"/>
      <c r="PY100" s="21"/>
      <c r="PZ100" s="21"/>
      <c r="QA100" s="21"/>
      <c r="QB100" s="21"/>
      <c r="QC100" s="21"/>
      <c r="QD100" s="21"/>
      <c r="QE100" s="21"/>
      <c r="QF100" s="21"/>
      <c r="QG100" s="21"/>
      <c r="QH100" s="21"/>
      <c r="QI100" s="21"/>
      <c r="QJ100" s="21"/>
      <c r="QK100" s="21"/>
      <c r="QL100" s="21"/>
      <c r="QM100" s="21"/>
      <c r="QN100" s="21"/>
      <c r="QO100" s="21"/>
      <c r="QP100" s="21"/>
      <c r="QQ100" s="21"/>
      <c r="QR100" s="21"/>
      <c r="QS100" s="21"/>
      <c r="QT100" s="21"/>
      <c r="QU100" s="21"/>
      <c r="QV100" s="21"/>
      <c r="QW100" s="21"/>
      <c r="QX100" s="21"/>
      <c r="QY100" s="21"/>
      <c r="QZ100" s="21"/>
      <c r="RA100" s="21"/>
      <c r="RB100" s="21"/>
      <c r="RC100" s="21"/>
      <c r="RD100" s="21"/>
      <c r="RE100" s="21"/>
      <c r="RF100" s="21"/>
      <c r="RG100" s="21"/>
      <c r="RH100" s="21"/>
      <c r="RI100" s="21"/>
      <c r="RJ100" s="21"/>
      <c r="RK100" s="21"/>
      <c r="RL100" s="21"/>
      <c r="RM100" s="21"/>
      <c r="RN100" s="21"/>
      <c r="RO100" s="21"/>
      <c r="RP100" s="21"/>
      <c r="RQ100" s="21"/>
      <c r="RR100" s="21"/>
      <c r="RS100" s="21"/>
      <c r="RT100" s="21"/>
      <c r="RU100" s="21"/>
      <c r="RV100" s="21"/>
      <c r="RW100" s="21"/>
      <c r="RX100" s="21"/>
      <c r="RY100" s="21"/>
      <c r="RZ100" s="21"/>
      <c r="SA100" s="21"/>
      <c r="SB100" s="21"/>
      <c r="SC100" s="21"/>
      <c r="SD100" s="21"/>
      <c r="SE100" s="21"/>
      <c r="SF100" s="21"/>
      <c r="SG100" s="21"/>
      <c r="SH100" s="21"/>
      <c r="SI100" s="21"/>
      <c r="SJ100" s="21"/>
      <c r="SK100" s="21"/>
      <c r="SL100" s="21"/>
      <c r="SM100" s="21"/>
      <c r="SN100" s="21"/>
      <c r="SO100" s="21"/>
      <c r="SP100" s="21"/>
      <c r="SQ100" s="21"/>
      <c r="SR100" s="21"/>
      <c r="SS100" s="21"/>
      <c r="ST100" s="21"/>
      <c r="SU100" s="21"/>
      <c r="SV100" s="21"/>
      <c r="SW100" s="21"/>
      <c r="SX100" s="21"/>
      <c r="SY100" s="21"/>
      <c r="SZ100" s="21"/>
      <c r="TA100" s="21"/>
      <c r="TB100" s="21"/>
      <c r="TC100" s="21"/>
      <c r="TD100" s="21"/>
      <c r="TE100" s="21"/>
      <c r="TF100" s="21"/>
      <c r="TG100" s="21"/>
      <c r="TH100" s="21"/>
      <c r="TI100" s="21"/>
      <c r="TJ100" s="21"/>
      <c r="TK100" s="21"/>
      <c r="TL100" s="21"/>
      <c r="TM100" s="21"/>
      <c r="TN100" s="21"/>
      <c r="TO100" s="21"/>
      <c r="TP100" s="21"/>
      <c r="TQ100" s="21"/>
      <c r="TR100" s="21"/>
      <c r="TS100" s="21"/>
      <c r="TT100" s="21"/>
      <c r="TU100" s="21"/>
      <c r="TV100" s="21"/>
      <c r="TW100" s="21"/>
      <c r="TX100" s="21"/>
      <c r="TY100" s="21"/>
      <c r="TZ100" s="21"/>
      <c r="UA100" s="21"/>
      <c r="UB100" s="21"/>
      <c r="UC100" s="21"/>
      <c r="UD100" s="21"/>
      <c r="UE100" s="21"/>
      <c r="UF100" s="21"/>
      <c r="UG100" s="21"/>
      <c r="UH100" s="21"/>
      <c r="UI100" s="21"/>
      <c r="UJ100" s="21"/>
      <c r="UK100" s="21"/>
      <c r="UL100" s="21"/>
      <c r="UM100" s="21"/>
      <c r="UN100" s="21"/>
      <c r="UO100" s="21"/>
      <c r="UP100" s="21"/>
      <c r="UQ100" s="21"/>
      <c r="UR100" s="21"/>
      <c r="US100" s="21"/>
      <c r="UT100" s="21"/>
      <c r="UU100" s="21"/>
      <c r="UV100" s="21"/>
      <c r="UW100" s="21"/>
      <c r="UX100" s="21"/>
      <c r="UY100" s="21"/>
      <c r="UZ100" s="21"/>
      <c r="VA100" s="21"/>
      <c r="VB100" s="21"/>
      <c r="VC100" s="21"/>
      <c r="VD100" s="21"/>
      <c r="VE100" s="21"/>
      <c r="VF100" s="21"/>
      <c r="VG100" s="21"/>
      <c r="VH100" s="21"/>
      <c r="VI100" s="21"/>
      <c r="VJ100" s="21"/>
      <c r="VK100" s="21"/>
      <c r="VL100" s="21"/>
      <c r="VM100" s="21"/>
      <c r="VN100" s="21"/>
      <c r="VO100" s="21"/>
      <c r="VP100" s="21"/>
      <c r="VQ100" s="21"/>
      <c r="VR100" s="21"/>
      <c r="VS100" s="21"/>
      <c r="VT100" s="21"/>
      <c r="VU100" s="21"/>
      <c r="VV100" s="21"/>
      <c r="VW100" s="21"/>
      <c r="VX100" s="21"/>
      <c r="VY100" s="21"/>
      <c r="VZ100" s="21"/>
      <c r="WA100" s="21"/>
      <c r="WB100" s="21"/>
      <c r="WC100" s="21"/>
      <c r="WD100" s="21"/>
      <c r="WE100" s="21"/>
      <c r="WF100" s="21"/>
      <c r="WG100" s="21"/>
      <c r="WH100" s="21"/>
      <c r="WI100" s="21"/>
      <c r="WJ100" s="21"/>
      <c r="WK100" s="21"/>
      <c r="WL100" s="21"/>
      <c r="WM100" s="21"/>
      <c r="WN100" s="21"/>
      <c r="WO100" s="21"/>
      <c r="WP100" s="21"/>
      <c r="WQ100" s="21"/>
      <c r="WR100" s="21"/>
      <c r="WS100" s="21"/>
      <c r="WT100" s="21"/>
      <c r="WU100" s="21"/>
      <c r="WV100" s="21"/>
      <c r="WW100" s="21"/>
      <c r="WX100" s="21"/>
      <c r="WY100" s="21"/>
      <c r="WZ100" s="21"/>
      <c r="XA100" s="21"/>
      <c r="XB100" s="21"/>
      <c r="XC100" s="21"/>
      <c r="XD100" s="21"/>
      <c r="XE100" s="21"/>
      <c r="XF100" s="21"/>
      <c r="XG100" s="21"/>
      <c r="XH100" s="21"/>
      <c r="XI100" s="21"/>
      <c r="XJ100" s="21"/>
      <c r="XK100" s="21"/>
      <c r="XL100" s="21"/>
      <c r="XM100" s="21"/>
      <c r="XN100" s="21"/>
      <c r="XO100" s="21"/>
      <c r="XP100" s="21"/>
      <c r="XQ100" s="21"/>
      <c r="XR100" s="21"/>
      <c r="XS100" s="21"/>
      <c r="XT100" s="21"/>
      <c r="XU100" s="21"/>
      <c r="XV100" s="21"/>
      <c r="XW100" s="21"/>
      <c r="XX100" s="21"/>
      <c r="XY100" s="21"/>
      <c r="XZ100" s="21"/>
      <c r="YA100" s="21"/>
      <c r="YB100" s="21"/>
      <c r="YC100" s="21"/>
      <c r="YD100" s="21"/>
      <c r="YE100" s="21"/>
      <c r="YF100" s="21"/>
      <c r="YG100" s="21"/>
      <c r="YH100" s="21"/>
      <c r="YI100" s="21"/>
      <c r="YJ100" s="21"/>
      <c r="YK100" s="21"/>
      <c r="YL100" s="21"/>
      <c r="YM100" s="21"/>
      <c r="YN100" s="21"/>
      <c r="YO100" s="21"/>
      <c r="YP100" s="21"/>
      <c r="YQ100" s="21"/>
      <c r="YR100" s="21"/>
      <c r="YS100" s="21"/>
      <c r="YT100" s="21"/>
      <c r="YU100" s="21"/>
      <c r="YV100" s="21"/>
      <c r="YW100" s="21"/>
      <c r="YX100" s="21"/>
      <c r="YY100" s="21"/>
      <c r="YZ100" s="21"/>
      <c r="ZA100" s="21"/>
      <c r="ZB100" s="21"/>
      <c r="ZC100" s="21"/>
      <c r="ZD100" s="21"/>
      <c r="ZE100" s="21"/>
      <c r="ZF100" s="21"/>
      <c r="ZG100" s="21"/>
      <c r="ZH100" s="21"/>
      <c r="ZI100" s="21"/>
      <c r="ZJ100" s="21"/>
      <c r="ZK100" s="21"/>
      <c r="ZL100" s="21"/>
      <c r="ZM100" s="21"/>
      <c r="ZN100" s="21"/>
      <c r="ZO100" s="21"/>
      <c r="ZP100" s="21"/>
      <c r="ZQ100" s="21"/>
      <c r="ZR100" s="21"/>
      <c r="ZS100" s="21"/>
      <c r="ZT100" s="21"/>
      <c r="ZU100" s="21"/>
      <c r="ZV100" s="21"/>
      <c r="ZW100" s="21"/>
      <c r="ZX100" s="21"/>
      <c r="ZY100" s="21"/>
      <c r="ZZ100" s="21"/>
      <c r="AAA100" s="21"/>
      <c r="AAB100" s="21"/>
      <c r="AAC100" s="21"/>
      <c r="AAD100" s="21"/>
      <c r="AAE100" s="21"/>
      <c r="AAF100" s="21"/>
      <c r="AAG100" s="21"/>
      <c r="AAH100" s="21"/>
      <c r="AAI100" s="21"/>
      <c r="AAJ100" s="21"/>
      <c r="AAK100" s="21"/>
      <c r="AAL100" s="21"/>
      <c r="AAM100" s="21"/>
      <c r="AAN100" s="21"/>
      <c r="AAO100" s="21"/>
      <c r="AAP100" s="21"/>
      <c r="AAQ100" s="21"/>
      <c r="AAR100" s="21"/>
      <c r="AAS100" s="21"/>
      <c r="AAT100" s="21"/>
      <c r="AAU100" s="21"/>
      <c r="AAV100" s="21"/>
      <c r="AAW100" s="21"/>
      <c r="AAX100" s="21"/>
      <c r="AAY100" s="21"/>
      <c r="AAZ100" s="21"/>
      <c r="ABA100" s="21"/>
      <c r="ABB100" s="21"/>
      <c r="ABC100" s="21"/>
      <c r="ABD100" s="21"/>
      <c r="ABE100" s="21"/>
      <c r="ABF100" s="21"/>
      <c r="ABG100" s="21"/>
      <c r="ABH100" s="21"/>
      <c r="ABI100" s="21"/>
      <c r="ABJ100" s="21"/>
      <c r="ABK100" s="21"/>
      <c r="ABL100" s="21"/>
      <c r="ABM100" s="21"/>
      <c r="ABN100" s="21"/>
      <c r="ABO100" s="21"/>
      <c r="ABP100" s="21"/>
      <c r="ABQ100" s="21"/>
      <c r="ABR100" s="21"/>
      <c r="ABS100" s="21"/>
      <c r="ABT100" s="21"/>
      <c r="ABU100" s="21"/>
      <c r="ABV100" s="21"/>
      <c r="ABW100" s="21"/>
      <c r="ABX100" s="21"/>
      <c r="ABY100" s="21"/>
      <c r="ABZ100" s="21"/>
      <c r="ACA100" s="21"/>
      <c r="ACB100" s="21"/>
      <c r="ACC100" s="21"/>
      <c r="ACD100" s="21"/>
      <c r="ACE100" s="21"/>
      <c r="ACF100" s="21"/>
      <c r="ACG100" s="21"/>
      <c r="ACH100" s="21"/>
      <c r="ACI100" s="21"/>
      <c r="ACJ100" s="21"/>
      <c r="ACK100" s="21"/>
      <c r="ACL100" s="21"/>
      <c r="ACM100" s="21"/>
      <c r="ACN100" s="21"/>
      <c r="ACO100" s="21"/>
      <c r="ACP100" s="21"/>
      <c r="ACQ100" s="21"/>
      <c r="ACR100" s="21"/>
      <c r="ACS100" s="21"/>
      <c r="ACT100" s="21"/>
      <c r="ACU100" s="21"/>
      <c r="ACV100" s="21"/>
      <c r="ACW100" s="21"/>
      <c r="ACX100" s="21"/>
      <c r="ACY100" s="21"/>
      <c r="ACZ100" s="21"/>
      <c r="ADA100" s="21"/>
      <c r="ADB100" s="21"/>
      <c r="ADC100" s="21"/>
      <c r="ADD100" s="21"/>
      <c r="ADE100" s="21"/>
      <c r="ADF100" s="21"/>
      <c r="ADG100" s="21"/>
      <c r="ADH100" s="21"/>
      <c r="ADI100" s="21"/>
      <c r="ADJ100" s="21"/>
      <c r="ADK100" s="21"/>
      <c r="ADL100" s="21"/>
      <c r="ADM100" s="21"/>
      <c r="ADN100" s="21"/>
      <c r="ADO100" s="21"/>
      <c r="ADP100" s="21"/>
      <c r="ADQ100" s="21"/>
      <c r="ADR100" s="21"/>
      <c r="ADS100" s="21"/>
      <c r="ADT100" s="21"/>
      <c r="ADU100" s="21"/>
      <c r="ADV100" s="21"/>
      <c r="ADW100" s="21"/>
      <c r="ADX100" s="21"/>
      <c r="ADY100" s="21"/>
      <c r="ADZ100" s="21"/>
      <c r="AEA100" s="21"/>
      <c r="AEB100" s="21"/>
      <c r="AEC100" s="21"/>
      <c r="AED100" s="21"/>
      <c r="AEE100" s="21"/>
      <c r="AEF100" s="21"/>
      <c r="AEG100" s="21"/>
    </row>
    <row r="101" spans="1:813" s="93" customFormat="1" ht="45" x14ac:dyDescent="0.25">
      <c r="A101" s="91">
        <v>37</v>
      </c>
      <c r="B101" s="63" t="s">
        <v>267</v>
      </c>
      <c r="C101" s="38" t="s">
        <v>266</v>
      </c>
      <c r="D101" s="63" t="s">
        <v>265</v>
      </c>
      <c r="E101" s="36" t="s">
        <v>264</v>
      </c>
      <c r="F101" s="111">
        <v>2.2999999999999998</v>
      </c>
      <c r="G101" s="32">
        <f>77/2</f>
        <v>38.5</v>
      </c>
      <c r="H101" s="33">
        <f t="shared" si="32"/>
        <v>90</v>
      </c>
      <c r="I101" s="32">
        <f>108/2</f>
        <v>54</v>
      </c>
      <c r="J101" s="33">
        <f t="shared" si="22"/>
        <v>120</v>
      </c>
      <c r="K101" s="32">
        <f>140/2</f>
        <v>70</v>
      </c>
      <c r="L101" s="33">
        <f t="shared" si="23"/>
        <v>160</v>
      </c>
      <c r="M101" s="32">
        <f>221/2</f>
        <v>110.5</v>
      </c>
      <c r="N101" s="33">
        <f t="shared" si="33"/>
        <v>250</v>
      </c>
      <c r="O101" s="32">
        <f>65/2</f>
        <v>32.5</v>
      </c>
      <c r="P101" s="33">
        <f t="shared" si="24"/>
        <v>70</v>
      </c>
      <c r="Q101" s="32">
        <f>157/2</f>
        <v>78.5</v>
      </c>
      <c r="R101" s="33">
        <f t="shared" si="25"/>
        <v>180</v>
      </c>
      <c r="S101" s="32">
        <f>143/2</f>
        <v>71.5</v>
      </c>
      <c r="T101" s="33">
        <f t="shared" si="34"/>
        <v>160</v>
      </c>
      <c r="U101" s="32">
        <f>80/2</f>
        <v>40</v>
      </c>
      <c r="V101" s="33">
        <f t="shared" si="26"/>
        <v>90</v>
      </c>
      <c r="W101" s="32">
        <f>37/2</f>
        <v>18.5</v>
      </c>
      <c r="X101" s="33">
        <f t="shared" si="27"/>
        <v>40</v>
      </c>
      <c r="Y101" s="32">
        <f>110/2</f>
        <v>55</v>
      </c>
      <c r="Z101" s="33">
        <f t="shared" si="28"/>
        <v>130</v>
      </c>
      <c r="AA101" s="32">
        <f>108/2</f>
        <v>54</v>
      </c>
      <c r="AB101" s="33">
        <f t="shared" si="29"/>
        <v>120</v>
      </c>
      <c r="AC101" s="32">
        <f>59/2</f>
        <v>29.5</v>
      </c>
      <c r="AD101" s="33">
        <f t="shared" si="30"/>
        <v>70</v>
      </c>
      <c r="AE101" s="32"/>
      <c r="AF101" s="33">
        <f t="shared" si="31"/>
        <v>1480</v>
      </c>
      <c r="AG101" s="33">
        <v>0</v>
      </c>
      <c r="AH101" s="33">
        <v>0</v>
      </c>
      <c r="AI101" s="32">
        <f t="shared" si="35"/>
        <v>0</v>
      </c>
      <c r="AJ101" s="31">
        <v>84124.375199609131</v>
      </c>
      <c r="AK101" s="31">
        <v>6852.4994600883238</v>
      </c>
      <c r="AL101" s="31">
        <v>90976.874659697452</v>
      </c>
      <c r="AM101" s="30" t="s">
        <v>18</v>
      </c>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c r="DA101" s="21"/>
      <c r="DB101" s="21"/>
      <c r="DC101" s="21"/>
      <c r="DD101" s="21"/>
      <c r="DE101" s="21"/>
      <c r="DF101" s="21"/>
      <c r="DG101" s="21"/>
      <c r="DH101" s="21"/>
      <c r="DI101" s="21"/>
      <c r="DJ101" s="21"/>
      <c r="DK101" s="21"/>
      <c r="DL101" s="21"/>
      <c r="DM101" s="21"/>
      <c r="DN101" s="21"/>
      <c r="DO101" s="21"/>
      <c r="DP101" s="21"/>
      <c r="DQ101" s="21"/>
      <c r="DR101" s="21"/>
      <c r="DS101" s="21"/>
      <c r="DT101" s="21"/>
      <c r="DU101" s="21"/>
      <c r="DV101" s="21"/>
      <c r="DW101" s="21"/>
      <c r="DX101" s="21"/>
      <c r="DY101" s="21"/>
      <c r="DZ101" s="21"/>
      <c r="EA101" s="21"/>
      <c r="EB101" s="21"/>
      <c r="EC101" s="21"/>
      <c r="ED101" s="21"/>
      <c r="EE101" s="21"/>
      <c r="EF101" s="21"/>
      <c r="EG101" s="21"/>
      <c r="EH101" s="21"/>
      <c r="EI101" s="21"/>
      <c r="EJ101" s="21"/>
      <c r="EK101" s="21"/>
      <c r="EL101" s="21"/>
      <c r="EM101" s="21"/>
      <c r="EN101" s="21"/>
      <c r="EO101" s="21"/>
      <c r="EP101" s="21"/>
      <c r="EQ101" s="21"/>
      <c r="ER101" s="21"/>
      <c r="ES101" s="21"/>
      <c r="ET101" s="21"/>
      <c r="EU101" s="21"/>
      <c r="EV101" s="21"/>
      <c r="EW101" s="21"/>
      <c r="EX101" s="21"/>
      <c r="EY101" s="21"/>
      <c r="EZ101" s="21"/>
      <c r="FA101" s="21"/>
      <c r="FB101" s="21"/>
      <c r="FC101" s="21"/>
      <c r="FD101" s="21"/>
      <c r="FE101" s="21"/>
      <c r="FF101" s="21"/>
      <c r="FG101" s="21"/>
      <c r="FH101" s="21"/>
      <c r="FI101" s="21"/>
      <c r="FJ101" s="21"/>
      <c r="FK101" s="21"/>
      <c r="FL101" s="21"/>
      <c r="FM101" s="21"/>
      <c r="FN101" s="21"/>
      <c r="FO101" s="21"/>
      <c r="FP101" s="21"/>
      <c r="FQ101" s="21"/>
      <c r="FR101" s="21"/>
      <c r="FS101" s="21"/>
      <c r="FT101" s="21"/>
      <c r="FU101" s="21"/>
      <c r="FV101" s="21"/>
      <c r="FW101" s="21"/>
      <c r="FX101" s="21"/>
      <c r="FY101" s="21"/>
      <c r="FZ101" s="21"/>
      <c r="GA101" s="21"/>
      <c r="GB101" s="21"/>
      <c r="GC101" s="21"/>
      <c r="GD101" s="21"/>
      <c r="GE101" s="21"/>
      <c r="GF101" s="21"/>
      <c r="GG101" s="21"/>
      <c r="GH101" s="21"/>
      <c r="GI101" s="21"/>
      <c r="GJ101" s="21"/>
      <c r="GK101" s="21"/>
      <c r="GL101" s="21"/>
      <c r="GM101" s="21"/>
      <c r="GN101" s="21"/>
      <c r="GO101" s="21"/>
      <c r="GP101" s="21"/>
      <c r="GQ101" s="21"/>
      <c r="GR101" s="21"/>
      <c r="GS101" s="21"/>
      <c r="GT101" s="21"/>
      <c r="GU101" s="21"/>
      <c r="GV101" s="21"/>
      <c r="GW101" s="21"/>
      <c r="GX101" s="21"/>
      <c r="GY101" s="21"/>
      <c r="GZ101" s="21"/>
      <c r="HA101" s="21"/>
      <c r="HB101" s="21"/>
      <c r="HC101" s="21"/>
      <c r="HD101" s="21"/>
      <c r="HE101" s="21"/>
      <c r="HF101" s="21"/>
      <c r="HG101" s="21"/>
      <c r="HH101" s="21"/>
      <c r="HI101" s="21"/>
      <c r="HJ101" s="21"/>
      <c r="HK101" s="21"/>
      <c r="HL101" s="21"/>
      <c r="HM101" s="21"/>
      <c r="HN101" s="21"/>
      <c r="HO101" s="21"/>
      <c r="HP101" s="21"/>
      <c r="HQ101" s="21"/>
      <c r="HR101" s="21"/>
      <c r="HS101" s="21"/>
      <c r="HT101" s="21"/>
      <c r="HU101" s="21"/>
      <c r="HV101" s="21"/>
      <c r="HW101" s="21"/>
      <c r="HX101" s="21"/>
      <c r="HY101" s="21"/>
      <c r="HZ101" s="21"/>
      <c r="IA101" s="21"/>
      <c r="IB101" s="21"/>
      <c r="IC101" s="21"/>
      <c r="ID101" s="21"/>
      <c r="IE101" s="21"/>
      <c r="IF101" s="21"/>
      <c r="IG101" s="21"/>
      <c r="IH101" s="21"/>
      <c r="II101" s="21"/>
      <c r="IJ101" s="21"/>
      <c r="IK101" s="21"/>
      <c r="IL101" s="21"/>
      <c r="IM101" s="21"/>
      <c r="IN101" s="21"/>
      <c r="IO101" s="21"/>
      <c r="IP101" s="21"/>
      <c r="IQ101" s="21"/>
      <c r="IR101" s="21"/>
      <c r="IS101" s="21"/>
      <c r="IT101" s="21"/>
      <c r="IU101" s="21"/>
      <c r="IV101" s="21"/>
      <c r="IW101" s="21"/>
      <c r="IX101" s="21"/>
      <c r="IY101" s="21"/>
      <c r="IZ101" s="21"/>
      <c r="JA101" s="21"/>
      <c r="JB101" s="21"/>
      <c r="JC101" s="21"/>
      <c r="JD101" s="21"/>
      <c r="JE101" s="21"/>
      <c r="JF101" s="21"/>
      <c r="JG101" s="21"/>
      <c r="JH101" s="21"/>
      <c r="JI101" s="21"/>
      <c r="JJ101" s="21"/>
      <c r="JK101" s="21"/>
      <c r="JL101" s="21"/>
      <c r="JM101" s="21"/>
      <c r="JN101" s="21"/>
      <c r="JO101" s="21"/>
      <c r="JP101" s="21"/>
      <c r="JQ101" s="21"/>
      <c r="JR101" s="21"/>
      <c r="JS101" s="21"/>
      <c r="JT101" s="21"/>
      <c r="JU101" s="21"/>
      <c r="JV101" s="21"/>
      <c r="JW101" s="21"/>
      <c r="JX101" s="21"/>
      <c r="JY101" s="21"/>
      <c r="JZ101" s="21"/>
      <c r="KA101" s="21"/>
      <c r="KB101" s="21"/>
      <c r="KC101" s="21"/>
      <c r="KD101" s="21"/>
      <c r="KE101" s="21"/>
      <c r="KF101" s="21"/>
      <c r="KG101" s="21"/>
      <c r="KH101" s="21"/>
      <c r="KI101" s="21"/>
      <c r="KJ101" s="21"/>
      <c r="KK101" s="21"/>
      <c r="KL101" s="21"/>
      <c r="KM101" s="21"/>
      <c r="KN101" s="21"/>
      <c r="KO101" s="21"/>
      <c r="KP101" s="21"/>
      <c r="KQ101" s="21"/>
      <c r="KR101" s="21"/>
      <c r="KS101" s="21"/>
      <c r="KT101" s="21"/>
      <c r="KU101" s="21"/>
      <c r="KV101" s="21"/>
      <c r="KW101" s="21"/>
      <c r="KX101" s="21"/>
      <c r="KY101" s="21"/>
      <c r="KZ101" s="21"/>
      <c r="LA101" s="21"/>
      <c r="LB101" s="21"/>
      <c r="LC101" s="21"/>
      <c r="LD101" s="21"/>
      <c r="LE101" s="21"/>
      <c r="LF101" s="21"/>
      <c r="LG101" s="21"/>
      <c r="LH101" s="21"/>
      <c r="LI101" s="21"/>
      <c r="LJ101" s="21"/>
      <c r="LK101" s="21"/>
      <c r="LL101" s="21"/>
      <c r="LM101" s="21"/>
      <c r="LN101" s="21"/>
      <c r="LO101" s="21"/>
      <c r="LP101" s="21"/>
      <c r="LQ101" s="21"/>
      <c r="LR101" s="21"/>
      <c r="LS101" s="21"/>
      <c r="LT101" s="21"/>
      <c r="LU101" s="21"/>
      <c r="LV101" s="21"/>
      <c r="LW101" s="21"/>
      <c r="LX101" s="21"/>
      <c r="LY101" s="21"/>
      <c r="LZ101" s="21"/>
      <c r="MA101" s="21"/>
      <c r="MB101" s="21"/>
      <c r="MC101" s="21"/>
      <c r="MD101" s="21"/>
      <c r="ME101" s="21"/>
      <c r="MF101" s="21"/>
      <c r="MG101" s="21"/>
      <c r="MH101" s="21"/>
      <c r="MI101" s="21"/>
      <c r="MJ101" s="21"/>
      <c r="MK101" s="21"/>
      <c r="ML101" s="21"/>
      <c r="MM101" s="21"/>
      <c r="MN101" s="21"/>
      <c r="MO101" s="21"/>
      <c r="MP101" s="21"/>
      <c r="MQ101" s="21"/>
      <c r="MR101" s="21"/>
      <c r="MS101" s="21"/>
      <c r="MT101" s="21"/>
      <c r="MU101" s="21"/>
      <c r="MV101" s="21"/>
      <c r="MW101" s="21"/>
      <c r="MX101" s="21"/>
      <c r="MY101" s="21"/>
      <c r="MZ101" s="21"/>
      <c r="NA101" s="21"/>
      <c r="NB101" s="21"/>
      <c r="NC101" s="21"/>
      <c r="ND101" s="21"/>
      <c r="NE101" s="21"/>
      <c r="NF101" s="21"/>
      <c r="NG101" s="21"/>
      <c r="NH101" s="21"/>
      <c r="NI101" s="21"/>
      <c r="NJ101" s="21"/>
      <c r="NK101" s="21"/>
      <c r="NL101" s="21"/>
      <c r="NM101" s="21"/>
      <c r="NN101" s="21"/>
      <c r="NO101" s="21"/>
      <c r="NP101" s="21"/>
      <c r="NQ101" s="21"/>
      <c r="NR101" s="21"/>
      <c r="NS101" s="21"/>
      <c r="NT101" s="21"/>
      <c r="NU101" s="21"/>
      <c r="NV101" s="21"/>
      <c r="NW101" s="21"/>
      <c r="NX101" s="21"/>
      <c r="NY101" s="21"/>
      <c r="NZ101" s="21"/>
      <c r="OA101" s="21"/>
      <c r="OB101" s="21"/>
      <c r="OC101" s="21"/>
      <c r="OD101" s="21"/>
      <c r="OE101" s="21"/>
      <c r="OF101" s="21"/>
      <c r="OG101" s="21"/>
      <c r="OH101" s="21"/>
      <c r="OI101" s="21"/>
      <c r="OJ101" s="21"/>
      <c r="OK101" s="21"/>
      <c r="OL101" s="21"/>
      <c r="OM101" s="21"/>
      <c r="ON101" s="21"/>
      <c r="OO101" s="21"/>
      <c r="OP101" s="21"/>
      <c r="OQ101" s="21"/>
      <c r="OR101" s="21"/>
      <c r="OS101" s="21"/>
      <c r="OT101" s="21"/>
      <c r="OU101" s="21"/>
      <c r="OV101" s="21"/>
      <c r="OW101" s="21"/>
      <c r="OX101" s="21"/>
      <c r="OY101" s="21"/>
      <c r="OZ101" s="21"/>
      <c r="PA101" s="21"/>
      <c r="PB101" s="21"/>
      <c r="PC101" s="21"/>
      <c r="PD101" s="21"/>
      <c r="PE101" s="21"/>
      <c r="PF101" s="21"/>
      <c r="PG101" s="21"/>
      <c r="PH101" s="21"/>
      <c r="PI101" s="21"/>
      <c r="PJ101" s="21"/>
      <c r="PK101" s="21"/>
      <c r="PL101" s="21"/>
      <c r="PM101" s="21"/>
      <c r="PN101" s="21"/>
      <c r="PO101" s="21"/>
      <c r="PP101" s="21"/>
      <c r="PQ101" s="21"/>
      <c r="PR101" s="21"/>
      <c r="PS101" s="21"/>
      <c r="PT101" s="21"/>
      <c r="PU101" s="21"/>
      <c r="PV101" s="21"/>
      <c r="PW101" s="21"/>
      <c r="PX101" s="21"/>
      <c r="PY101" s="21"/>
      <c r="PZ101" s="21"/>
      <c r="QA101" s="21"/>
      <c r="QB101" s="21"/>
      <c r="QC101" s="21"/>
      <c r="QD101" s="21"/>
      <c r="QE101" s="21"/>
      <c r="QF101" s="21"/>
      <c r="QG101" s="21"/>
      <c r="QH101" s="21"/>
      <c r="QI101" s="21"/>
      <c r="QJ101" s="21"/>
      <c r="QK101" s="21"/>
      <c r="QL101" s="21"/>
      <c r="QM101" s="21"/>
      <c r="QN101" s="21"/>
      <c r="QO101" s="21"/>
      <c r="QP101" s="21"/>
      <c r="QQ101" s="21"/>
      <c r="QR101" s="21"/>
      <c r="QS101" s="21"/>
      <c r="QT101" s="21"/>
      <c r="QU101" s="21"/>
      <c r="QV101" s="21"/>
      <c r="QW101" s="21"/>
      <c r="QX101" s="21"/>
      <c r="QY101" s="21"/>
      <c r="QZ101" s="21"/>
      <c r="RA101" s="21"/>
      <c r="RB101" s="21"/>
      <c r="RC101" s="21"/>
      <c r="RD101" s="21"/>
      <c r="RE101" s="21"/>
      <c r="RF101" s="21"/>
      <c r="RG101" s="21"/>
      <c r="RH101" s="21"/>
      <c r="RI101" s="21"/>
      <c r="RJ101" s="21"/>
      <c r="RK101" s="21"/>
      <c r="RL101" s="21"/>
      <c r="RM101" s="21"/>
      <c r="RN101" s="21"/>
      <c r="RO101" s="21"/>
      <c r="RP101" s="21"/>
      <c r="RQ101" s="21"/>
      <c r="RR101" s="21"/>
      <c r="RS101" s="21"/>
      <c r="RT101" s="21"/>
      <c r="RU101" s="21"/>
      <c r="RV101" s="21"/>
      <c r="RW101" s="21"/>
      <c r="RX101" s="21"/>
      <c r="RY101" s="21"/>
      <c r="RZ101" s="21"/>
      <c r="SA101" s="21"/>
      <c r="SB101" s="21"/>
      <c r="SC101" s="21"/>
      <c r="SD101" s="21"/>
      <c r="SE101" s="21"/>
      <c r="SF101" s="21"/>
      <c r="SG101" s="21"/>
      <c r="SH101" s="21"/>
      <c r="SI101" s="21"/>
      <c r="SJ101" s="21"/>
      <c r="SK101" s="21"/>
      <c r="SL101" s="21"/>
      <c r="SM101" s="21"/>
      <c r="SN101" s="21"/>
      <c r="SO101" s="21"/>
      <c r="SP101" s="21"/>
      <c r="SQ101" s="21"/>
      <c r="SR101" s="21"/>
      <c r="SS101" s="21"/>
      <c r="ST101" s="21"/>
      <c r="SU101" s="21"/>
      <c r="SV101" s="21"/>
      <c r="SW101" s="21"/>
      <c r="SX101" s="21"/>
      <c r="SY101" s="21"/>
      <c r="SZ101" s="21"/>
      <c r="TA101" s="21"/>
      <c r="TB101" s="21"/>
      <c r="TC101" s="21"/>
      <c r="TD101" s="21"/>
      <c r="TE101" s="21"/>
      <c r="TF101" s="21"/>
      <c r="TG101" s="21"/>
      <c r="TH101" s="21"/>
      <c r="TI101" s="21"/>
      <c r="TJ101" s="21"/>
      <c r="TK101" s="21"/>
      <c r="TL101" s="21"/>
      <c r="TM101" s="21"/>
      <c r="TN101" s="21"/>
      <c r="TO101" s="21"/>
      <c r="TP101" s="21"/>
      <c r="TQ101" s="21"/>
      <c r="TR101" s="21"/>
      <c r="TS101" s="21"/>
      <c r="TT101" s="21"/>
      <c r="TU101" s="21"/>
      <c r="TV101" s="21"/>
      <c r="TW101" s="21"/>
      <c r="TX101" s="21"/>
      <c r="TY101" s="21"/>
      <c r="TZ101" s="21"/>
      <c r="UA101" s="21"/>
      <c r="UB101" s="21"/>
      <c r="UC101" s="21"/>
      <c r="UD101" s="21"/>
      <c r="UE101" s="21"/>
      <c r="UF101" s="21"/>
      <c r="UG101" s="21"/>
      <c r="UH101" s="21"/>
      <c r="UI101" s="21"/>
      <c r="UJ101" s="21"/>
      <c r="UK101" s="21"/>
      <c r="UL101" s="21"/>
      <c r="UM101" s="21"/>
      <c r="UN101" s="21"/>
      <c r="UO101" s="21"/>
      <c r="UP101" s="21"/>
      <c r="UQ101" s="21"/>
      <c r="UR101" s="21"/>
      <c r="US101" s="21"/>
      <c r="UT101" s="21"/>
      <c r="UU101" s="21"/>
      <c r="UV101" s="21"/>
      <c r="UW101" s="21"/>
      <c r="UX101" s="21"/>
      <c r="UY101" s="21"/>
      <c r="UZ101" s="21"/>
      <c r="VA101" s="21"/>
      <c r="VB101" s="21"/>
      <c r="VC101" s="21"/>
      <c r="VD101" s="21"/>
      <c r="VE101" s="21"/>
      <c r="VF101" s="21"/>
      <c r="VG101" s="21"/>
      <c r="VH101" s="21"/>
      <c r="VI101" s="21"/>
      <c r="VJ101" s="21"/>
      <c r="VK101" s="21"/>
      <c r="VL101" s="21"/>
      <c r="VM101" s="21"/>
      <c r="VN101" s="21"/>
      <c r="VO101" s="21"/>
      <c r="VP101" s="21"/>
      <c r="VQ101" s="21"/>
      <c r="VR101" s="21"/>
      <c r="VS101" s="21"/>
      <c r="VT101" s="21"/>
      <c r="VU101" s="21"/>
      <c r="VV101" s="21"/>
      <c r="VW101" s="21"/>
      <c r="VX101" s="21"/>
      <c r="VY101" s="21"/>
      <c r="VZ101" s="21"/>
      <c r="WA101" s="21"/>
      <c r="WB101" s="21"/>
      <c r="WC101" s="21"/>
      <c r="WD101" s="21"/>
      <c r="WE101" s="21"/>
      <c r="WF101" s="21"/>
      <c r="WG101" s="21"/>
      <c r="WH101" s="21"/>
      <c r="WI101" s="21"/>
      <c r="WJ101" s="21"/>
      <c r="WK101" s="21"/>
      <c r="WL101" s="21"/>
      <c r="WM101" s="21"/>
      <c r="WN101" s="21"/>
      <c r="WO101" s="21"/>
      <c r="WP101" s="21"/>
      <c r="WQ101" s="21"/>
      <c r="WR101" s="21"/>
      <c r="WS101" s="21"/>
      <c r="WT101" s="21"/>
      <c r="WU101" s="21"/>
      <c r="WV101" s="21"/>
      <c r="WW101" s="21"/>
      <c r="WX101" s="21"/>
      <c r="WY101" s="21"/>
      <c r="WZ101" s="21"/>
      <c r="XA101" s="21"/>
      <c r="XB101" s="21"/>
      <c r="XC101" s="21"/>
      <c r="XD101" s="21"/>
      <c r="XE101" s="21"/>
      <c r="XF101" s="21"/>
      <c r="XG101" s="21"/>
      <c r="XH101" s="21"/>
      <c r="XI101" s="21"/>
      <c r="XJ101" s="21"/>
      <c r="XK101" s="21"/>
      <c r="XL101" s="21"/>
      <c r="XM101" s="21"/>
      <c r="XN101" s="21"/>
      <c r="XO101" s="21"/>
      <c r="XP101" s="21"/>
      <c r="XQ101" s="21"/>
      <c r="XR101" s="21"/>
      <c r="XS101" s="21"/>
      <c r="XT101" s="21"/>
      <c r="XU101" s="21"/>
      <c r="XV101" s="21"/>
      <c r="XW101" s="21"/>
      <c r="XX101" s="21"/>
      <c r="XY101" s="21"/>
      <c r="XZ101" s="21"/>
      <c r="YA101" s="21"/>
      <c r="YB101" s="21"/>
      <c r="YC101" s="21"/>
      <c r="YD101" s="21"/>
      <c r="YE101" s="21"/>
      <c r="YF101" s="21"/>
      <c r="YG101" s="21"/>
      <c r="YH101" s="21"/>
      <c r="YI101" s="21"/>
      <c r="YJ101" s="21"/>
      <c r="YK101" s="21"/>
      <c r="YL101" s="21"/>
      <c r="YM101" s="21"/>
      <c r="YN101" s="21"/>
      <c r="YO101" s="21"/>
      <c r="YP101" s="21"/>
      <c r="YQ101" s="21"/>
      <c r="YR101" s="21"/>
      <c r="YS101" s="21"/>
      <c r="YT101" s="21"/>
      <c r="YU101" s="21"/>
      <c r="YV101" s="21"/>
      <c r="YW101" s="21"/>
      <c r="YX101" s="21"/>
      <c r="YY101" s="21"/>
      <c r="YZ101" s="21"/>
      <c r="ZA101" s="21"/>
      <c r="ZB101" s="21"/>
      <c r="ZC101" s="21"/>
      <c r="ZD101" s="21"/>
      <c r="ZE101" s="21"/>
      <c r="ZF101" s="21"/>
      <c r="ZG101" s="21"/>
      <c r="ZH101" s="21"/>
      <c r="ZI101" s="21"/>
      <c r="ZJ101" s="21"/>
      <c r="ZK101" s="21"/>
      <c r="ZL101" s="21"/>
      <c r="ZM101" s="21"/>
      <c r="ZN101" s="21"/>
      <c r="ZO101" s="21"/>
      <c r="ZP101" s="21"/>
      <c r="ZQ101" s="21"/>
      <c r="ZR101" s="21"/>
      <c r="ZS101" s="21"/>
      <c r="ZT101" s="21"/>
      <c r="ZU101" s="21"/>
      <c r="ZV101" s="21"/>
      <c r="ZW101" s="21"/>
      <c r="ZX101" s="21"/>
      <c r="ZY101" s="21"/>
      <c r="ZZ101" s="21"/>
      <c r="AAA101" s="21"/>
      <c r="AAB101" s="21"/>
      <c r="AAC101" s="21"/>
      <c r="AAD101" s="21"/>
      <c r="AAE101" s="21"/>
      <c r="AAF101" s="21"/>
      <c r="AAG101" s="21"/>
      <c r="AAH101" s="21"/>
      <c r="AAI101" s="21"/>
      <c r="AAJ101" s="21"/>
      <c r="AAK101" s="21"/>
      <c r="AAL101" s="21"/>
      <c r="AAM101" s="21"/>
      <c r="AAN101" s="21"/>
      <c r="AAO101" s="21"/>
      <c r="AAP101" s="21"/>
      <c r="AAQ101" s="21"/>
      <c r="AAR101" s="21"/>
      <c r="AAS101" s="21"/>
      <c r="AAT101" s="21"/>
      <c r="AAU101" s="21"/>
      <c r="AAV101" s="21"/>
      <c r="AAW101" s="21"/>
      <c r="AAX101" s="21"/>
      <c r="AAY101" s="21"/>
      <c r="AAZ101" s="21"/>
      <c r="ABA101" s="21"/>
      <c r="ABB101" s="21"/>
      <c r="ABC101" s="21"/>
      <c r="ABD101" s="21"/>
      <c r="ABE101" s="21"/>
      <c r="ABF101" s="21"/>
      <c r="ABG101" s="21"/>
      <c r="ABH101" s="21"/>
      <c r="ABI101" s="21"/>
      <c r="ABJ101" s="21"/>
      <c r="ABK101" s="21"/>
      <c r="ABL101" s="21"/>
      <c r="ABM101" s="21"/>
      <c r="ABN101" s="21"/>
      <c r="ABO101" s="21"/>
      <c r="ABP101" s="21"/>
      <c r="ABQ101" s="21"/>
      <c r="ABR101" s="21"/>
      <c r="ABS101" s="21"/>
      <c r="ABT101" s="21"/>
      <c r="ABU101" s="21"/>
      <c r="ABV101" s="21"/>
      <c r="ABW101" s="21"/>
      <c r="ABX101" s="21"/>
      <c r="ABY101" s="21"/>
      <c r="ABZ101" s="21"/>
      <c r="ACA101" s="21"/>
      <c r="ACB101" s="21"/>
      <c r="ACC101" s="21"/>
      <c r="ACD101" s="21"/>
      <c r="ACE101" s="21"/>
      <c r="ACF101" s="21"/>
      <c r="ACG101" s="21"/>
      <c r="ACH101" s="21"/>
      <c r="ACI101" s="21"/>
      <c r="ACJ101" s="21"/>
      <c r="ACK101" s="21"/>
      <c r="ACL101" s="21"/>
      <c r="ACM101" s="21"/>
      <c r="ACN101" s="21"/>
      <c r="ACO101" s="21"/>
      <c r="ACP101" s="21"/>
      <c r="ACQ101" s="21"/>
      <c r="ACR101" s="21"/>
      <c r="ACS101" s="21"/>
      <c r="ACT101" s="21"/>
      <c r="ACU101" s="21"/>
      <c r="ACV101" s="21"/>
      <c r="ACW101" s="21"/>
      <c r="ACX101" s="21"/>
      <c r="ACY101" s="21"/>
      <c r="ACZ101" s="21"/>
      <c r="ADA101" s="21"/>
      <c r="ADB101" s="21"/>
      <c r="ADC101" s="21"/>
      <c r="ADD101" s="21"/>
      <c r="ADE101" s="21"/>
      <c r="ADF101" s="21"/>
      <c r="ADG101" s="21"/>
      <c r="ADH101" s="21"/>
      <c r="ADI101" s="21"/>
      <c r="ADJ101" s="21"/>
      <c r="ADK101" s="21"/>
      <c r="ADL101" s="21"/>
      <c r="ADM101" s="21"/>
      <c r="ADN101" s="21"/>
      <c r="ADO101" s="21"/>
      <c r="ADP101" s="21"/>
      <c r="ADQ101" s="21"/>
      <c r="ADR101" s="21"/>
      <c r="ADS101" s="21"/>
      <c r="ADT101" s="21"/>
      <c r="ADU101" s="21"/>
      <c r="ADV101" s="21"/>
      <c r="ADW101" s="21"/>
      <c r="ADX101" s="21"/>
      <c r="ADY101" s="21"/>
      <c r="ADZ101" s="21"/>
      <c r="AEA101" s="21"/>
      <c r="AEB101" s="21"/>
      <c r="AEC101" s="21"/>
      <c r="AED101" s="21"/>
      <c r="AEE101" s="21"/>
      <c r="AEF101" s="21"/>
      <c r="AEG101" s="21"/>
    </row>
    <row r="102" spans="1:813" s="93" customFormat="1" ht="45" x14ac:dyDescent="0.25">
      <c r="A102" s="179">
        <v>38</v>
      </c>
      <c r="B102" s="185" t="s">
        <v>263</v>
      </c>
      <c r="C102" s="38" t="s">
        <v>262</v>
      </c>
      <c r="D102" s="63" t="s">
        <v>259</v>
      </c>
      <c r="E102" s="36" t="s">
        <v>261</v>
      </c>
      <c r="F102" s="170">
        <v>32.200000000000003</v>
      </c>
      <c r="G102" s="170">
        <f>43/2</f>
        <v>21.5</v>
      </c>
      <c r="H102" s="170">
        <f t="shared" si="32"/>
        <v>690</v>
      </c>
      <c r="I102" s="170">
        <f>18/2</f>
        <v>9</v>
      </c>
      <c r="J102" s="170">
        <f t="shared" si="22"/>
        <v>290</v>
      </c>
      <c r="K102" s="170">
        <f>128/2</f>
        <v>64</v>
      </c>
      <c r="L102" s="170">
        <f t="shared" si="23"/>
        <v>2060</v>
      </c>
      <c r="M102" s="170">
        <f>149/2</f>
        <v>74.5</v>
      </c>
      <c r="N102" s="170">
        <f t="shared" si="33"/>
        <v>2400</v>
      </c>
      <c r="O102" s="170">
        <f>71/2</f>
        <v>35.5</v>
      </c>
      <c r="P102" s="170">
        <f t="shared" si="24"/>
        <v>1140</v>
      </c>
      <c r="Q102" s="170">
        <f>188/2</f>
        <v>94</v>
      </c>
      <c r="R102" s="170">
        <f t="shared" si="25"/>
        <v>3030</v>
      </c>
      <c r="S102" s="170">
        <f>238/2</f>
        <v>119</v>
      </c>
      <c r="T102" s="170">
        <f t="shared" si="34"/>
        <v>3830</v>
      </c>
      <c r="U102" s="170">
        <f>11/2</f>
        <v>5.5</v>
      </c>
      <c r="V102" s="170">
        <f t="shared" si="26"/>
        <v>180</v>
      </c>
      <c r="W102" s="170">
        <f>15/2</f>
        <v>7.5</v>
      </c>
      <c r="X102" s="170">
        <f t="shared" si="27"/>
        <v>240</v>
      </c>
      <c r="Y102" s="170">
        <f>132/2</f>
        <v>66</v>
      </c>
      <c r="Z102" s="170">
        <f t="shared" si="28"/>
        <v>2130</v>
      </c>
      <c r="AA102" s="170">
        <f>58/2</f>
        <v>29</v>
      </c>
      <c r="AB102" s="170">
        <f t="shared" si="29"/>
        <v>930</v>
      </c>
      <c r="AC102" s="170">
        <f>79/2</f>
        <v>39.5</v>
      </c>
      <c r="AD102" s="170">
        <f t="shared" si="30"/>
        <v>1270</v>
      </c>
      <c r="AE102" s="170"/>
      <c r="AF102" s="170">
        <f t="shared" si="31"/>
        <v>18190</v>
      </c>
      <c r="AG102" s="114">
        <v>0</v>
      </c>
      <c r="AH102" s="114">
        <v>0</v>
      </c>
      <c r="AI102" s="32">
        <f t="shared" si="35"/>
        <v>0</v>
      </c>
      <c r="AJ102" s="31">
        <v>991873.5217801946</v>
      </c>
      <c r="AK102" s="31">
        <v>80794.808357830974</v>
      </c>
      <c r="AL102" s="31">
        <v>1072668.3301380256</v>
      </c>
      <c r="AM102" s="30" t="s">
        <v>18</v>
      </c>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c r="EG102" s="21"/>
      <c r="EH102" s="21"/>
      <c r="EI102" s="21"/>
      <c r="EJ102" s="21"/>
      <c r="EK102" s="21"/>
      <c r="EL102" s="21"/>
      <c r="EM102" s="21"/>
      <c r="EN102" s="21"/>
      <c r="EO102" s="21"/>
      <c r="EP102" s="21"/>
      <c r="EQ102" s="21"/>
      <c r="ER102" s="21"/>
      <c r="ES102" s="21"/>
      <c r="ET102" s="21"/>
      <c r="EU102" s="21"/>
      <c r="EV102" s="21"/>
      <c r="EW102" s="21"/>
      <c r="EX102" s="21"/>
      <c r="EY102" s="21"/>
      <c r="EZ102" s="21"/>
      <c r="FA102" s="21"/>
      <c r="FB102" s="21"/>
      <c r="FC102" s="21"/>
      <c r="FD102" s="21"/>
      <c r="FE102" s="21"/>
      <c r="FF102" s="21"/>
      <c r="FG102" s="21"/>
      <c r="FH102" s="21"/>
      <c r="FI102" s="21"/>
      <c r="FJ102" s="21"/>
      <c r="FK102" s="21"/>
      <c r="FL102" s="21"/>
      <c r="FM102" s="21"/>
      <c r="FN102" s="21"/>
      <c r="FO102" s="21"/>
      <c r="FP102" s="21"/>
      <c r="FQ102" s="21"/>
      <c r="FR102" s="21"/>
      <c r="FS102" s="21"/>
      <c r="FT102" s="21"/>
      <c r="FU102" s="21"/>
      <c r="FV102" s="21"/>
      <c r="FW102" s="21"/>
      <c r="FX102" s="21"/>
      <c r="FY102" s="21"/>
      <c r="FZ102" s="21"/>
      <c r="GA102" s="21"/>
      <c r="GB102" s="21"/>
      <c r="GC102" s="21"/>
      <c r="GD102" s="21"/>
      <c r="GE102" s="21"/>
      <c r="GF102" s="21"/>
      <c r="GG102" s="21"/>
      <c r="GH102" s="21"/>
      <c r="GI102" s="21"/>
      <c r="GJ102" s="21"/>
      <c r="GK102" s="21"/>
      <c r="GL102" s="21"/>
      <c r="GM102" s="21"/>
      <c r="GN102" s="21"/>
      <c r="GO102" s="21"/>
      <c r="GP102" s="21"/>
      <c r="GQ102" s="21"/>
      <c r="GR102" s="21"/>
      <c r="GS102" s="21"/>
      <c r="GT102" s="21"/>
      <c r="GU102" s="21"/>
      <c r="GV102" s="21"/>
      <c r="GW102" s="21"/>
      <c r="GX102" s="21"/>
      <c r="GY102" s="21"/>
      <c r="GZ102" s="21"/>
      <c r="HA102" s="21"/>
      <c r="HB102" s="21"/>
      <c r="HC102" s="21"/>
      <c r="HD102" s="21"/>
      <c r="HE102" s="21"/>
      <c r="HF102" s="21"/>
      <c r="HG102" s="21"/>
      <c r="HH102" s="21"/>
      <c r="HI102" s="21"/>
      <c r="HJ102" s="21"/>
      <c r="HK102" s="21"/>
      <c r="HL102" s="21"/>
      <c r="HM102" s="21"/>
      <c r="HN102" s="21"/>
      <c r="HO102" s="21"/>
      <c r="HP102" s="21"/>
      <c r="HQ102" s="21"/>
      <c r="HR102" s="21"/>
      <c r="HS102" s="21"/>
      <c r="HT102" s="21"/>
      <c r="HU102" s="21"/>
      <c r="HV102" s="21"/>
      <c r="HW102" s="21"/>
      <c r="HX102" s="21"/>
      <c r="HY102" s="21"/>
      <c r="HZ102" s="21"/>
      <c r="IA102" s="21"/>
      <c r="IB102" s="21"/>
      <c r="IC102" s="21"/>
      <c r="ID102" s="21"/>
      <c r="IE102" s="21"/>
      <c r="IF102" s="21"/>
      <c r="IG102" s="21"/>
      <c r="IH102" s="21"/>
      <c r="II102" s="21"/>
      <c r="IJ102" s="21"/>
      <c r="IK102" s="21"/>
      <c r="IL102" s="21"/>
      <c r="IM102" s="21"/>
      <c r="IN102" s="21"/>
      <c r="IO102" s="21"/>
      <c r="IP102" s="21"/>
      <c r="IQ102" s="21"/>
      <c r="IR102" s="21"/>
      <c r="IS102" s="21"/>
      <c r="IT102" s="21"/>
      <c r="IU102" s="21"/>
      <c r="IV102" s="21"/>
      <c r="IW102" s="21"/>
      <c r="IX102" s="21"/>
      <c r="IY102" s="21"/>
      <c r="IZ102" s="21"/>
      <c r="JA102" s="21"/>
      <c r="JB102" s="21"/>
      <c r="JC102" s="21"/>
      <c r="JD102" s="21"/>
      <c r="JE102" s="21"/>
      <c r="JF102" s="21"/>
      <c r="JG102" s="21"/>
      <c r="JH102" s="21"/>
      <c r="JI102" s="21"/>
      <c r="JJ102" s="21"/>
      <c r="JK102" s="21"/>
      <c r="JL102" s="21"/>
      <c r="JM102" s="21"/>
      <c r="JN102" s="21"/>
      <c r="JO102" s="21"/>
      <c r="JP102" s="21"/>
      <c r="JQ102" s="21"/>
      <c r="JR102" s="21"/>
      <c r="JS102" s="21"/>
      <c r="JT102" s="21"/>
      <c r="JU102" s="21"/>
      <c r="JV102" s="21"/>
      <c r="JW102" s="21"/>
      <c r="JX102" s="21"/>
      <c r="JY102" s="21"/>
      <c r="JZ102" s="21"/>
      <c r="KA102" s="21"/>
      <c r="KB102" s="21"/>
      <c r="KC102" s="21"/>
      <c r="KD102" s="21"/>
      <c r="KE102" s="21"/>
      <c r="KF102" s="21"/>
      <c r="KG102" s="21"/>
      <c r="KH102" s="21"/>
      <c r="KI102" s="21"/>
      <c r="KJ102" s="21"/>
      <c r="KK102" s="21"/>
      <c r="KL102" s="21"/>
      <c r="KM102" s="21"/>
      <c r="KN102" s="21"/>
      <c r="KO102" s="21"/>
      <c r="KP102" s="21"/>
      <c r="KQ102" s="21"/>
      <c r="KR102" s="21"/>
      <c r="KS102" s="21"/>
      <c r="KT102" s="21"/>
      <c r="KU102" s="21"/>
      <c r="KV102" s="21"/>
      <c r="KW102" s="21"/>
      <c r="KX102" s="21"/>
      <c r="KY102" s="21"/>
      <c r="KZ102" s="21"/>
      <c r="LA102" s="21"/>
      <c r="LB102" s="21"/>
      <c r="LC102" s="21"/>
      <c r="LD102" s="21"/>
      <c r="LE102" s="21"/>
      <c r="LF102" s="21"/>
      <c r="LG102" s="21"/>
      <c r="LH102" s="21"/>
      <c r="LI102" s="21"/>
      <c r="LJ102" s="21"/>
      <c r="LK102" s="21"/>
      <c r="LL102" s="21"/>
      <c r="LM102" s="21"/>
      <c r="LN102" s="21"/>
      <c r="LO102" s="21"/>
      <c r="LP102" s="21"/>
      <c r="LQ102" s="21"/>
      <c r="LR102" s="21"/>
      <c r="LS102" s="21"/>
      <c r="LT102" s="21"/>
      <c r="LU102" s="21"/>
      <c r="LV102" s="21"/>
      <c r="LW102" s="21"/>
      <c r="LX102" s="21"/>
      <c r="LY102" s="21"/>
      <c r="LZ102" s="21"/>
      <c r="MA102" s="21"/>
      <c r="MB102" s="21"/>
      <c r="MC102" s="21"/>
      <c r="MD102" s="21"/>
      <c r="ME102" s="21"/>
      <c r="MF102" s="21"/>
      <c r="MG102" s="21"/>
      <c r="MH102" s="21"/>
      <c r="MI102" s="21"/>
      <c r="MJ102" s="21"/>
      <c r="MK102" s="21"/>
      <c r="ML102" s="21"/>
      <c r="MM102" s="21"/>
      <c r="MN102" s="21"/>
      <c r="MO102" s="21"/>
      <c r="MP102" s="21"/>
      <c r="MQ102" s="21"/>
      <c r="MR102" s="21"/>
      <c r="MS102" s="21"/>
      <c r="MT102" s="21"/>
      <c r="MU102" s="21"/>
      <c r="MV102" s="21"/>
      <c r="MW102" s="21"/>
      <c r="MX102" s="21"/>
      <c r="MY102" s="21"/>
      <c r="MZ102" s="21"/>
      <c r="NA102" s="21"/>
      <c r="NB102" s="21"/>
      <c r="NC102" s="21"/>
      <c r="ND102" s="21"/>
      <c r="NE102" s="21"/>
      <c r="NF102" s="21"/>
      <c r="NG102" s="21"/>
      <c r="NH102" s="21"/>
      <c r="NI102" s="21"/>
      <c r="NJ102" s="21"/>
      <c r="NK102" s="21"/>
      <c r="NL102" s="21"/>
      <c r="NM102" s="21"/>
      <c r="NN102" s="21"/>
      <c r="NO102" s="21"/>
      <c r="NP102" s="21"/>
      <c r="NQ102" s="21"/>
      <c r="NR102" s="21"/>
      <c r="NS102" s="21"/>
      <c r="NT102" s="21"/>
      <c r="NU102" s="21"/>
      <c r="NV102" s="21"/>
      <c r="NW102" s="21"/>
      <c r="NX102" s="21"/>
      <c r="NY102" s="21"/>
      <c r="NZ102" s="21"/>
      <c r="OA102" s="21"/>
      <c r="OB102" s="21"/>
      <c r="OC102" s="21"/>
      <c r="OD102" s="21"/>
      <c r="OE102" s="21"/>
      <c r="OF102" s="21"/>
      <c r="OG102" s="21"/>
      <c r="OH102" s="21"/>
      <c r="OI102" s="21"/>
      <c r="OJ102" s="21"/>
      <c r="OK102" s="21"/>
      <c r="OL102" s="21"/>
      <c r="OM102" s="21"/>
      <c r="ON102" s="21"/>
      <c r="OO102" s="21"/>
      <c r="OP102" s="21"/>
      <c r="OQ102" s="21"/>
      <c r="OR102" s="21"/>
      <c r="OS102" s="21"/>
      <c r="OT102" s="21"/>
      <c r="OU102" s="21"/>
      <c r="OV102" s="21"/>
      <c r="OW102" s="21"/>
      <c r="OX102" s="21"/>
      <c r="OY102" s="21"/>
      <c r="OZ102" s="21"/>
      <c r="PA102" s="21"/>
      <c r="PB102" s="21"/>
      <c r="PC102" s="21"/>
      <c r="PD102" s="21"/>
      <c r="PE102" s="21"/>
      <c r="PF102" s="21"/>
      <c r="PG102" s="21"/>
      <c r="PH102" s="21"/>
      <c r="PI102" s="21"/>
      <c r="PJ102" s="21"/>
      <c r="PK102" s="21"/>
      <c r="PL102" s="21"/>
      <c r="PM102" s="21"/>
      <c r="PN102" s="21"/>
      <c r="PO102" s="21"/>
      <c r="PP102" s="21"/>
      <c r="PQ102" s="21"/>
      <c r="PR102" s="21"/>
      <c r="PS102" s="21"/>
      <c r="PT102" s="21"/>
      <c r="PU102" s="21"/>
      <c r="PV102" s="21"/>
      <c r="PW102" s="21"/>
      <c r="PX102" s="21"/>
      <c r="PY102" s="21"/>
      <c r="PZ102" s="21"/>
      <c r="QA102" s="21"/>
      <c r="QB102" s="21"/>
      <c r="QC102" s="21"/>
      <c r="QD102" s="21"/>
      <c r="QE102" s="21"/>
      <c r="QF102" s="21"/>
      <c r="QG102" s="21"/>
      <c r="QH102" s="21"/>
      <c r="QI102" s="21"/>
      <c r="QJ102" s="21"/>
      <c r="QK102" s="21"/>
      <c r="QL102" s="21"/>
      <c r="QM102" s="21"/>
      <c r="QN102" s="21"/>
      <c r="QO102" s="21"/>
      <c r="QP102" s="21"/>
      <c r="QQ102" s="21"/>
      <c r="QR102" s="21"/>
      <c r="QS102" s="21"/>
      <c r="QT102" s="21"/>
      <c r="QU102" s="21"/>
      <c r="QV102" s="21"/>
      <c r="QW102" s="21"/>
      <c r="QX102" s="21"/>
      <c r="QY102" s="21"/>
      <c r="QZ102" s="21"/>
      <c r="RA102" s="21"/>
      <c r="RB102" s="21"/>
      <c r="RC102" s="21"/>
      <c r="RD102" s="21"/>
      <c r="RE102" s="21"/>
      <c r="RF102" s="21"/>
      <c r="RG102" s="21"/>
      <c r="RH102" s="21"/>
      <c r="RI102" s="21"/>
      <c r="RJ102" s="21"/>
      <c r="RK102" s="21"/>
      <c r="RL102" s="21"/>
      <c r="RM102" s="21"/>
      <c r="RN102" s="21"/>
      <c r="RO102" s="21"/>
      <c r="RP102" s="21"/>
      <c r="RQ102" s="21"/>
      <c r="RR102" s="21"/>
      <c r="RS102" s="21"/>
      <c r="RT102" s="21"/>
      <c r="RU102" s="21"/>
      <c r="RV102" s="21"/>
      <c r="RW102" s="21"/>
      <c r="RX102" s="21"/>
      <c r="RY102" s="21"/>
      <c r="RZ102" s="21"/>
      <c r="SA102" s="21"/>
      <c r="SB102" s="21"/>
      <c r="SC102" s="21"/>
      <c r="SD102" s="21"/>
      <c r="SE102" s="21"/>
      <c r="SF102" s="21"/>
      <c r="SG102" s="21"/>
      <c r="SH102" s="21"/>
      <c r="SI102" s="21"/>
      <c r="SJ102" s="21"/>
      <c r="SK102" s="21"/>
      <c r="SL102" s="21"/>
      <c r="SM102" s="21"/>
      <c r="SN102" s="21"/>
      <c r="SO102" s="21"/>
      <c r="SP102" s="21"/>
      <c r="SQ102" s="21"/>
      <c r="SR102" s="21"/>
      <c r="SS102" s="21"/>
      <c r="ST102" s="21"/>
      <c r="SU102" s="21"/>
      <c r="SV102" s="21"/>
      <c r="SW102" s="21"/>
      <c r="SX102" s="21"/>
      <c r="SY102" s="21"/>
      <c r="SZ102" s="21"/>
      <c r="TA102" s="21"/>
      <c r="TB102" s="21"/>
      <c r="TC102" s="21"/>
      <c r="TD102" s="21"/>
      <c r="TE102" s="21"/>
      <c r="TF102" s="21"/>
      <c r="TG102" s="21"/>
      <c r="TH102" s="21"/>
      <c r="TI102" s="21"/>
      <c r="TJ102" s="21"/>
      <c r="TK102" s="21"/>
      <c r="TL102" s="21"/>
      <c r="TM102" s="21"/>
      <c r="TN102" s="21"/>
      <c r="TO102" s="21"/>
      <c r="TP102" s="21"/>
      <c r="TQ102" s="21"/>
      <c r="TR102" s="21"/>
      <c r="TS102" s="21"/>
      <c r="TT102" s="21"/>
      <c r="TU102" s="21"/>
      <c r="TV102" s="21"/>
      <c r="TW102" s="21"/>
      <c r="TX102" s="21"/>
      <c r="TY102" s="21"/>
      <c r="TZ102" s="21"/>
      <c r="UA102" s="21"/>
      <c r="UB102" s="21"/>
      <c r="UC102" s="21"/>
      <c r="UD102" s="21"/>
      <c r="UE102" s="21"/>
      <c r="UF102" s="21"/>
      <c r="UG102" s="21"/>
      <c r="UH102" s="21"/>
      <c r="UI102" s="21"/>
      <c r="UJ102" s="21"/>
      <c r="UK102" s="21"/>
      <c r="UL102" s="21"/>
      <c r="UM102" s="21"/>
      <c r="UN102" s="21"/>
      <c r="UO102" s="21"/>
      <c r="UP102" s="21"/>
      <c r="UQ102" s="21"/>
      <c r="UR102" s="21"/>
      <c r="US102" s="21"/>
      <c r="UT102" s="21"/>
      <c r="UU102" s="21"/>
      <c r="UV102" s="21"/>
      <c r="UW102" s="21"/>
      <c r="UX102" s="21"/>
      <c r="UY102" s="21"/>
      <c r="UZ102" s="21"/>
      <c r="VA102" s="21"/>
      <c r="VB102" s="21"/>
      <c r="VC102" s="21"/>
      <c r="VD102" s="21"/>
      <c r="VE102" s="21"/>
      <c r="VF102" s="21"/>
      <c r="VG102" s="21"/>
      <c r="VH102" s="21"/>
      <c r="VI102" s="21"/>
      <c r="VJ102" s="21"/>
      <c r="VK102" s="21"/>
      <c r="VL102" s="21"/>
      <c r="VM102" s="21"/>
      <c r="VN102" s="21"/>
      <c r="VO102" s="21"/>
      <c r="VP102" s="21"/>
      <c r="VQ102" s="21"/>
      <c r="VR102" s="21"/>
      <c r="VS102" s="21"/>
      <c r="VT102" s="21"/>
      <c r="VU102" s="21"/>
      <c r="VV102" s="21"/>
      <c r="VW102" s="21"/>
      <c r="VX102" s="21"/>
      <c r="VY102" s="21"/>
      <c r="VZ102" s="21"/>
      <c r="WA102" s="21"/>
      <c r="WB102" s="21"/>
      <c r="WC102" s="21"/>
      <c r="WD102" s="21"/>
      <c r="WE102" s="21"/>
      <c r="WF102" s="21"/>
      <c r="WG102" s="21"/>
      <c r="WH102" s="21"/>
      <c r="WI102" s="21"/>
      <c r="WJ102" s="21"/>
      <c r="WK102" s="21"/>
      <c r="WL102" s="21"/>
      <c r="WM102" s="21"/>
      <c r="WN102" s="21"/>
      <c r="WO102" s="21"/>
      <c r="WP102" s="21"/>
      <c r="WQ102" s="21"/>
      <c r="WR102" s="21"/>
      <c r="WS102" s="21"/>
      <c r="WT102" s="21"/>
      <c r="WU102" s="21"/>
      <c r="WV102" s="21"/>
      <c r="WW102" s="21"/>
      <c r="WX102" s="21"/>
      <c r="WY102" s="21"/>
      <c r="WZ102" s="21"/>
      <c r="XA102" s="21"/>
      <c r="XB102" s="21"/>
      <c r="XC102" s="21"/>
      <c r="XD102" s="21"/>
      <c r="XE102" s="21"/>
      <c r="XF102" s="21"/>
      <c r="XG102" s="21"/>
      <c r="XH102" s="21"/>
      <c r="XI102" s="21"/>
      <c r="XJ102" s="21"/>
      <c r="XK102" s="21"/>
      <c r="XL102" s="21"/>
      <c r="XM102" s="21"/>
      <c r="XN102" s="21"/>
      <c r="XO102" s="21"/>
      <c r="XP102" s="21"/>
      <c r="XQ102" s="21"/>
      <c r="XR102" s="21"/>
      <c r="XS102" s="21"/>
      <c r="XT102" s="21"/>
      <c r="XU102" s="21"/>
      <c r="XV102" s="21"/>
      <c r="XW102" s="21"/>
      <c r="XX102" s="21"/>
      <c r="XY102" s="21"/>
      <c r="XZ102" s="21"/>
      <c r="YA102" s="21"/>
      <c r="YB102" s="21"/>
      <c r="YC102" s="21"/>
      <c r="YD102" s="21"/>
      <c r="YE102" s="21"/>
      <c r="YF102" s="21"/>
      <c r="YG102" s="21"/>
      <c r="YH102" s="21"/>
      <c r="YI102" s="21"/>
      <c r="YJ102" s="21"/>
      <c r="YK102" s="21"/>
      <c r="YL102" s="21"/>
      <c r="YM102" s="21"/>
      <c r="YN102" s="21"/>
      <c r="YO102" s="21"/>
      <c r="YP102" s="21"/>
      <c r="YQ102" s="21"/>
      <c r="YR102" s="21"/>
      <c r="YS102" s="21"/>
      <c r="YT102" s="21"/>
      <c r="YU102" s="21"/>
      <c r="YV102" s="21"/>
      <c r="YW102" s="21"/>
      <c r="YX102" s="21"/>
      <c r="YY102" s="21"/>
      <c r="YZ102" s="21"/>
      <c r="ZA102" s="21"/>
      <c r="ZB102" s="21"/>
      <c r="ZC102" s="21"/>
      <c r="ZD102" s="21"/>
      <c r="ZE102" s="21"/>
      <c r="ZF102" s="21"/>
      <c r="ZG102" s="21"/>
      <c r="ZH102" s="21"/>
      <c r="ZI102" s="21"/>
      <c r="ZJ102" s="21"/>
      <c r="ZK102" s="21"/>
      <c r="ZL102" s="21"/>
      <c r="ZM102" s="21"/>
      <c r="ZN102" s="21"/>
      <c r="ZO102" s="21"/>
      <c r="ZP102" s="21"/>
      <c r="ZQ102" s="21"/>
      <c r="ZR102" s="21"/>
      <c r="ZS102" s="21"/>
      <c r="ZT102" s="21"/>
      <c r="ZU102" s="21"/>
      <c r="ZV102" s="21"/>
      <c r="ZW102" s="21"/>
      <c r="ZX102" s="21"/>
      <c r="ZY102" s="21"/>
      <c r="ZZ102" s="21"/>
      <c r="AAA102" s="21"/>
      <c r="AAB102" s="21"/>
      <c r="AAC102" s="21"/>
      <c r="AAD102" s="21"/>
      <c r="AAE102" s="21"/>
      <c r="AAF102" s="21"/>
      <c r="AAG102" s="21"/>
      <c r="AAH102" s="21"/>
      <c r="AAI102" s="21"/>
      <c r="AAJ102" s="21"/>
      <c r="AAK102" s="21"/>
      <c r="AAL102" s="21"/>
      <c r="AAM102" s="21"/>
      <c r="AAN102" s="21"/>
      <c r="AAO102" s="21"/>
      <c r="AAP102" s="21"/>
      <c r="AAQ102" s="21"/>
      <c r="AAR102" s="21"/>
      <c r="AAS102" s="21"/>
      <c r="AAT102" s="21"/>
      <c r="AAU102" s="21"/>
      <c r="AAV102" s="21"/>
      <c r="AAW102" s="21"/>
      <c r="AAX102" s="21"/>
      <c r="AAY102" s="21"/>
      <c r="AAZ102" s="21"/>
      <c r="ABA102" s="21"/>
      <c r="ABB102" s="21"/>
      <c r="ABC102" s="21"/>
      <c r="ABD102" s="21"/>
      <c r="ABE102" s="21"/>
      <c r="ABF102" s="21"/>
      <c r="ABG102" s="21"/>
      <c r="ABH102" s="21"/>
      <c r="ABI102" s="21"/>
      <c r="ABJ102" s="21"/>
      <c r="ABK102" s="21"/>
      <c r="ABL102" s="21"/>
      <c r="ABM102" s="21"/>
      <c r="ABN102" s="21"/>
      <c r="ABO102" s="21"/>
      <c r="ABP102" s="21"/>
      <c r="ABQ102" s="21"/>
      <c r="ABR102" s="21"/>
      <c r="ABS102" s="21"/>
      <c r="ABT102" s="21"/>
      <c r="ABU102" s="21"/>
      <c r="ABV102" s="21"/>
      <c r="ABW102" s="21"/>
      <c r="ABX102" s="21"/>
      <c r="ABY102" s="21"/>
      <c r="ABZ102" s="21"/>
      <c r="ACA102" s="21"/>
      <c r="ACB102" s="21"/>
      <c r="ACC102" s="21"/>
      <c r="ACD102" s="21"/>
      <c r="ACE102" s="21"/>
      <c r="ACF102" s="21"/>
      <c r="ACG102" s="21"/>
      <c r="ACH102" s="21"/>
      <c r="ACI102" s="21"/>
      <c r="ACJ102" s="21"/>
      <c r="ACK102" s="21"/>
      <c r="ACL102" s="21"/>
      <c r="ACM102" s="21"/>
      <c r="ACN102" s="21"/>
      <c r="ACO102" s="21"/>
      <c r="ACP102" s="21"/>
      <c r="ACQ102" s="21"/>
      <c r="ACR102" s="21"/>
      <c r="ACS102" s="21"/>
      <c r="ACT102" s="21"/>
      <c r="ACU102" s="21"/>
      <c r="ACV102" s="21"/>
      <c r="ACW102" s="21"/>
      <c r="ACX102" s="21"/>
      <c r="ACY102" s="21"/>
      <c r="ACZ102" s="21"/>
      <c r="ADA102" s="21"/>
      <c r="ADB102" s="21"/>
      <c r="ADC102" s="21"/>
      <c r="ADD102" s="21"/>
      <c r="ADE102" s="21"/>
      <c r="ADF102" s="21"/>
      <c r="ADG102" s="21"/>
      <c r="ADH102" s="21"/>
      <c r="ADI102" s="21"/>
      <c r="ADJ102" s="21"/>
      <c r="ADK102" s="21"/>
      <c r="ADL102" s="21"/>
      <c r="ADM102" s="21"/>
      <c r="ADN102" s="21"/>
      <c r="ADO102" s="21"/>
      <c r="ADP102" s="21"/>
      <c r="ADQ102" s="21"/>
      <c r="ADR102" s="21"/>
      <c r="ADS102" s="21"/>
      <c r="ADT102" s="21"/>
      <c r="ADU102" s="21"/>
      <c r="ADV102" s="21"/>
      <c r="ADW102" s="21"/>
      <c r="ADX102" s="21"/>
      <c r="ADY102" s="21"/>
      <c r="ADZ102" s="21"/>
      <c r="AEA102" s="21"/>
      <c r="AEB102" s="21"/>
      <c r="AEC102" s="21"/>
      <c r="AED102" s="21"/>
      <c r="AEE102" s="21"/>
      <c r="AEF102" s="21"/>
      <c r="AEG102" s="21"/>
    </row>
    <row r="103" spans="1:813" s="93" customFormat="1" ht="45" x14ac:dyDescent="0.25">
      <c r="A103" s="179"/>
      <c r="B103" s="185"/>
      <c r="C103" s="38" t="s">
        <v>260</v>
      </c>
      <c r="D103" s="63" t="s">
        <v>259</v>
      </c>
      <c r="E103" s="36" t="s">
        <v>258</v>
      </c>
      <c r="F103" s="171"/>
      <c r="G103" s="171"/>
      <c r="H103" s="171">
        <f t="shared" si="32"/>
        <v>0</v>
      </c>
      <c r="I103" s="171"/>
      <c r="J103" s="171">
        <f t="shared" si="22"/>
        <v>0</v>
      </c>
      <c r="K103" s="171"/>
      <c r="L103" s="171">
        <f t="shared" si="23"/>
        <v>0</v>
      </c>
      <c r="M103" s="171"/>
      <c r="N103" s="171">
        <f t="shared" si="33"/>
        <v>0</v>
      </c>
      <c r="O103" s="171"/>
      <c r="P103" s="171">
        <f t="shared" si="24"/>
        <v>0</v>
      </c>
      <c r="Q103" s="171"/>
      <c r="R103" s="171">
        <f t="shared" si="25"/>
        <v>0</v>
      </c>
      <c r="S103" s="171"/>
      <c r="T103" s="171">
        <f t="shared" si="34"/>
        <v>0</v>
      </c>
      <c r="U103" s="171"/>
      <c r="V103" s="171">
        <f t="shared" si="26"/>
        <v>0</v>
      </c>
      <c r="W103" s="171"/>
      <c r="X103" s="171">
        <f t="shared" si="27"/>
        <v>0</v>
      </c>
      <c r="Y103" s="171"/>
      <c r="Z103" s="171">
        <f t="shared" si="28"/>
        <v>0</v>
      </c>
      <c r="AA103" s="171"/>
      <c r="AB103" s="171">
        <f t="shared" si="29"/>
        <v>0</v>
      </c>
      <c r="AC103" s="171"/>
      <c r="AD103" s="171">
        <f t="shared" si="30"/>
        <v>0</v>
      </c>
      <c r="AE103" s="171"/>
      <c r="AF103" s="171">
        <f t="shared" si="31"/>
        <v>0</v>
      </c>
      <c r="AG103" s="113">
        <v>0</v>
      </c>
      <c r="AH103" s="113">
        <v>0</v>
      </c>
      <c r="AI103" s="32">
        <f t="shared" si="35"/>
        <v>0</v>
      </c>
      <c r="AJ103" s="31">
        <v>0</v>
      </c>
      <c r="AK103" s="31">
        <v>0</v>
      </c>
      <c r="AL103" s="31">
        <v>0</v>
      </c>
      <c r="AM103" s="30" t="s">
        <v>18</v>
      </c>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c r="FB103" s="21"/>
      <c r="FC103" s="21"/>
      <c r="FD103" s="21"/>
      <c r="FE103" s="21"/>
      <c r="FF103" s="21"/>
      <c r="FG103" s="21"/>
      <c r="FH103" s="21"/>
      <c r="FI103" s="21"/>
      <c r="FJ103" s="21"/>
      <c r="FK103" s="21"/>
      <c r="FL103" s="21"/>
      <c r="FM103" s="21"/>
      <c r="FN103" s="21"/>
      <c r="FO103" s="21"/>
      <c r="FP103" s="21"/>
      <c r="FQ103" s="21"/>
      <c r="FR103" s="21"/>
      <c r="FS103" s="21"/>
      <c r="FT103" s="21"/>
      <c r="FU103" s="21"/>
      <c r="FV103" s="21"/>
      <c r="FW103" s="21"/>
      <c r="FX103" s="21"/>
      <c r="FY103" s="21"/>
      <c r="FZ103" s="21"/>
      <c r="GA103" s="21"/>
      <c r="GB103" s="21"/>
      <c r="GC103" s="21"/>
      <c r="GD103" s="21"/>
      <c r="GE103" s="21"/>
      <c r="GF103" s="21"/>
      <c r="GG103" s="21"/>
      <c r="GH103" s="21"/>
      <c r="GI103" s="21"/>
      <c r="GJ103" s="21"/>
      <c r="GK103" s="21"/>
      <c r="GL103" s="21"/>
      <c r="GM103" s="21"/>
      <c r="GN103" s="21"/>
      <c r="GO103" s="21"/>
      <c r="GP103" s="21"/>
      <c r="GQ103" s="21"/>
      <c r="GR103" s="21"/>
      <c r="GS103" s="21"/>
      <c r="GT103" s="21"/>
      <c r="GU103" s="21"/>
      <c r="GV103" s="21"/>
      <c r="GW103" s="21"/>
      <c r="GX103" s="21"/>
      <c r="GY103" s="21"/>
      <c r="GZ103" s="21"/>
      <c r="HA103" s="21"/>
      <c r="HB103" s="21"/>
      <c r="HC103" s="21"/>
      <c r="HD103" s="21"/>
      <c r="HE103" s="21"/>
      <c r="HF103" s="21"/>
      <c r="HG103" s="21"/>
      <c r="HH103" s="21"/>
      <c r="HI103" s="21"/>
      <c r="HJ103" s="21"/>
      <c r="HK103" s="21"/>
      <c r="HL103" s="21"/>
      <c r="HM103" s="21"/>
      <c r="HN103" s="21"/>
      <c r="HO103" s="21"/>
      <c r="HP103" s="21"/>
      <c r="HQ103" s="21"/>
      <c r="HR103" s="21"/>
      <c r="HS103" s="21"/>
      <c r="HT103" s="21"/>
      <c r="HU103" s="21"/>
      <c r="HV103" s="21"/>
      <c r="HW103" s="21"/>
      <c r="HX103" s="21"/>
      <c r="HY103" s="21"/>
      <c r="HZ103" s="21"/>
      <c r="IA103" s="21"/>
      <c r="IB103" s="21"/>
      <c r="IC103" s="21"/>
      <c r="ID103" s="21"/>
      <c r="IE103" s="21"/>
      <c r="IF103" s="21"/>
      <c r="IG103" s="21"/>
      <c r="IH103" s="21"/>
      <c r="II103" s="21"/>
      <c r="IJ103" s="21"/>
      <c r="IK103" s="21"/>
      <c r="IL103" s="21"/>
      <c r="IM103" s="21"/>
      <c r="IN103" s="21"/>
      <c r="IO103" s="21"/>
      <c r="IP103" s="21"/>
      <c r="IQ103" s="21"/>
      <c r="IR103" s="21"/>
      <c r="IS103" s="21"/>
      <c r="IT103" s="21"/>
      <c r="IU103" s="21"/>
      <c r="IV103" s="21"/>
      <c r="IW103" s="21"/>
      <c r="IX103" s="21"/>
      <c r="IY103" s="21"/>
      <c r="IZ103" s="21"/>
      <c r="JA103" s="21"/>
      <c r="JB103" s="21"/>
      <c r="JC103" s="21"/>
      <c r="JD103" s="21"/>
      <c r="JE103" s="21"/>
      <c r="JF103" s="21"/>
      <c r="JG103" s="21"/>
      <c r="JH103" s="21"/>
      <c r="JI103" s="21"/>
      <c r="JJ103" s="21"/>
      <c r="JK103" s="21"/>
      <c r="JL103" s="21"/>
      <c r="JM103" s="21"/>
      <c r="JN103" s="21"/>
      <c r="JO103" s="21"/>
      <c r="JP103" s="21"/>
      <c r="JQ103" s="21"/>
      <c r="JR103" s="21"/>
      <c r="JS103" s="21"/>
      <c r="JT103" s="21"/>
      <c r="JU103" s="21"/>
      <c r="JV103" s="21"/>
      <c r="JW103" s="21"/>
      <c r="JX103" s="21"/>
      <c r="JY103" s="21"/>
      <c r="JZ103" s="21"/>
      <c r="KA103" s="21"/>
      <c r="KB103" s="21"/>
      <c r="KC103" s="21"/>
      <c r="KD103" s="21"/>
      <c r="KE103" s="21"/>
      <c r="KF103" s="21"/>
      <c r="KG103" s="21"/>
      <c r="KH103" s="21"/>
      <c r="KI103" s="21"/>
      <c r="KJ103" s="21"/>
      <c r="KK103" s="21"/>
      <c r="KL103" s="21"/>
      <c r="KM103" s="21"/>
      <c r="KN103" s="21"/>
      <c r="KO103" s="21"/>
      <c r="KP103" s="21"/>
      <c r="KQ103" s="21"/>
      <c r="KR103" s="21"/>
      <c r="KS103" s="21"/>
      <c r="KT103" s="21"/>
      <c r="KU103" s="21"/>
      <c r="KV103" s="21"/>
      <c r="KW103" s="21"/>
      <c r="KX103" s="21"/>
      <c r="KY103" s="21"/>
      <c r="KZ103" s="21"/>
      <c r="LA103" s="21"/>
      <c r="LB103" s="21"/>
      <c r="LC103" s="21"/>
      <c r="LD103" s="21"/>
      <c r="LE103" s="21"/>
      <c r="LF103" s="21"/>
      <c r="LG103" s="21"/>
      <c r="LH103" s="21"/>
      <c r="LI103" s="21"/>
      <c r="LJ103" s="21"/>
      <c r="LK103" s="21"/>
      <c r="LL103" s="21"/>
      <c r="LM103" s="21"/>
      <c r="LN103" s="21"/>
      <c r="LO103" s="21"/>
      <c r="LP103" s="21"/>
      <c r="LQ103" s="21"/>
      <c r="LR103" s="21"/>
      <c r="LS103" s="21"/>
      <c r="LT103" s="21"/>
      <c r="LU103" s="21"/>
      <c r="LV103" s="21"/>
      <c r="LW103" s="21"/>
      <c r="LX103" s="21"/>
      <c r="LY103" s="21"/>
      <c r="LZ103" s="21"/>
      <c r="MA103" s="21"/>
      <c r="MB103" s="21"/>
      <c r="MC103" s="21"/>
      <c r="MD103" s="21"/>
      <c r="ME103" s="21"/>
      <c r="MF103" s="21"/>
      <c r="MG103" s="21"/>
      <c r="MH103" s="21"/>
      <c r="MI103" s="21"/>
      <c r="MJ103" s="21"/>
      <c r="MK103" s="21"/>
      <c r="ML103" s="21"/>
      <c r="MM103" s="21"/>
      <c r="MN103" s="21"/>
      <c r="MO103" s="21"/>
      <c r="MP103" s="21"/>
      <c r="MQ103" s="21"/>
      <c r="MR103" s="21"/>
      <c r="MS103" s="21"/>
      <c r="MT103" s="21"/>
      <c r="MU103" s="21"/>
      <c r="MV103" s="21"/>
      <c r="MW103" s="21"/>
      <c r="MX103" s="21"/>
      <c r="MY103" s="21"/>
      <c r="MZ103" s="21"/>
      <c r="NA103" s="21"/>
      <c r="NB103" s="21"/>
      <c r="NC103" s="21"/>
      <c r="ND103" s="21"/>
      <c r="NE103" s="21"/>
      <c r="NF103" s="21"/>
      <c r="NG103" s="21"/>
      <c r="NH103" s="21"/>
      <c r="NI103" s="21"/>
      <c r="NJ103" s="21"/>
      <c r="NK103" s="21"/>
      <c r="NL103" s="21"/>
      <c r="NM103" s="21"/>
      <c r="NN103" s="21"/>
      <c r="NO103" s="21"/>
      <c r="NP103" s="21"/>
      <c r="NQ103" s="21"/>
      <c r="NR103" s="21"/>
      <c r="NS103" s="21"/>
      <c r="NT103" s="21"/>
      <c r="NU103" s="21"/>
      <c r="NV103" s="21"/>
      <c r="NW103" s="21"/>
      <c r="NX103" s="21"/>
      <c r="NY103" s="21"/>
      <c r="NZ103" s="21"/>
      <c r="OA103" s="21"/>
      <c r="OB103" s="21"/>
      <c r="OC103" s="21"/>
      <c r="OD103" s="21"/>
      <c r="OE103" s="21"/>
      <c r="OF103" s="21"/>
      <c r="OG103" s="21"/>
      <c r="OH103" s="21"/>
      <c r="OI103" s="21"/>
      <c r="OJ103" s="21"/>
      <c r="OK103" s="21"/>
      <c r="OL103" s="21"/>
      <c r="OM103" s="21"/>
      <c r="ON103" s="21"/>
      <c r="OO103" s="21"/>
      <c r="OP103" s="21"/>
      <c r="OQ103" s="21"/>
      <c r="OR103" s="21"/>
      <c r="OS103" s="21"/>
      <c r="OT103" s="21"/>
      <c r="OU103" s="21"/>
      <c r="OV103" s="21"/>
      <c r="OW103" s="21"/>
      <c r="OX103" s="21"/>
      <c r="OY103" s="21"/>
      <c r="OZ103" s="21"/>
      <c r="PA103" s="21"/>
      <c r="PB103" s="21"/>
      <c r="PC103" s="21"/>
      <c r="PD103" s="21"/>
      <c r="PE103" s="21"/>
      <c r="PF103" s="21"/>
      <c r="PG103" s="21"/>
      <c r="PH103" s="21"/>
      <c r="PI103" s="21"/>
      <c r="PJ103" s="21"/>
      <c r="PK103" s="21"/>
      <c r="PL103" s="21"/>
      <c r="PM103" s="21"/>
      <c r="PN103" s="21"/>
      <c r="PO103" s="21"/>
      <c r="PP103" s="21"/>
      <c r="PQ103" s="21"/>
      <c r="PR103" s="21"/>
      <c r="PS103" s="21"/>
      <c r="PT103" s="21"/>
      <c r="PU103" s="21"/>
      <c r="PV103" s="21"/>
      <c r="PW103" s="21"/>
      <c r="PX103" s="21"/>
      <c r="PY103" s="21"/>
      <c r="PZ103" s="21"/>
      <c r="QA103" s="21"/>
      <c r="QB103" s="21"/>
      <c r="QC103" s="21"/>
      <c r="QD103" s="21"/>
      <c r="QE103" s="21"/>
      <c r="QF103" s="21"/>
      <c r="QG103" s="21"/>
      <c r="QH103" s="21"/>
      <c r="QI103" s="21"/>
      <c r="QJ103" s="21"/>
      <c r="QK103" s="21"/>
      <c r="QL103" s="21"/>
      <c r="QM103" s="21"/>
      <c r="QN103" s="21"/>
      <c r="QO103" s="21"/>
      <c r="QP103" s="21"/>
      <c r="QQ103" s="21"/>
      <c r="QR103" s="21"/>
      <c r="QS103" s="21"/>
      <c r="QT103" s="21"/>
      <c r="QU103" s="21"/>
      <c r="QV103" s="21"/>
      <c r="QW103" s="21"/>
      <c r="QX103" s="21"/>
      <c r="QY103" s="21"/>
      <c r="QZ103" s="21"/>
      <c r="RA103" s="21"/>
      <c r="RB103" s="21"/>
      <c r="RC103" s="21"/>
      <c r="RD103" s="21"/>
      <c r="RE103" s="21"/>
      <c r="RF103" s="21"/>
      <c r="RG103" s="21"/>
      <c r="RH103" s="21"/>
      <c r="RI103" s="21"/>
      <c r="RJ103" s="21"/>
      <c r="RK103" s="21"/>
      <c r="RL103" s="21"/>
      <c r="RM103" s="21"/>
      <c r="RN103" s="21"/>
      <c r="RO103" s="21"/>
      <c r="RP103" s="21"/>
      <c r="RQ103" s="21"/>
      <c r="RR103" s="21"/>
      <c r="RS103" s="21"/>
      <c r="RT103" s="21"/>
      <c r="RU103" s="21"/>
      <c r="RV103" s="21"/>
      <c r="RW103" s="21"/>
      <c r="RX103" s="21"/>
      <c r="RY103" s="21"/>
      <c r="RZ103" s="21"/>
      <c r="SA103" s="21"/>
      <c r="SB103" s="21"/>
      <c r="SC103" s="21"/>
      <c r="SD103" s="21"/>
      <c r="SE103" s="21"/>
      <c r="SF103" s="21"/>
      <c r="SG103" s="21"/>
      <c r="SH103" s="21"/>
      <c r="SI103" s="21"/>
      <c r="SJ103" s="21"/>
      <c r="SK103" s="21"/>
      <c r="SL103" s="21"/>
      <c r="SM103" s="21"/>
      <c r="SN103" s="21"/>
      <c r="SO103" s="21"/>
      <c r="SP103" s="21"/>
      <c r="SQ103" s="21"/>
      <c r="SR103" s="21"/>
      <c r="SS103" s="21"/>
      <c r="ST103" s="21"/>
      <c r="SU103" s="21"/>
      <c r="SV103" s="21"/>
      <c r="SW103" s="21"/>
      <c r="SX103" s="21"/>
      <c r="SY103" s="21"/>
      <c r="SZ103" s="21"/>
      <c r="TA103" s="21"/>
      <c r="TB103" s="21"/>
      <c r="TC103" s="21"/>
      <c r="TD103" s="21"/>
      <c r="TE103" s="21"/>
      <c r="TF103" s="21"/>
      <c r="TG103" s="21"/>
      <c r="TH103" s="21"/>
      <c r="TI103" s="21"/>
      <c r="TJ103" s="21"/>
      <c r="TK103" s="21"/>
      <c r="TL103" s="21"/>
      <c r="TM103" s="21"/>
      <c r="TN103" s="21"/>
      <c r="TO103" s="21"/>
      <c r="TP103" s="21"/>
      <c r="TQ103" s="21"/>
      <c r="TR103" s="21"/>
      <c r="TS103" s="21"/>
      <c r="TT103" s="21"/>
      <c r="TU103" s="21"/>
      <c r="TV103" s="21"/>
      <c r="TW103" s="21"/>
      <c r="TX103" s="21"/>
      <c r="TY103" s="21"/>
      <c r="TZ103" s="21"/>
      <c r="UA103" s="21"/>
      <c r="UB103" s="21"/>
      <c r="UC103" s="21"/>
      <c r="UD103" s="21"/>
      <c r="UE103" s="21"/>
      <c r="UF103" s="21"/>
      <c r="UG103" s="21"/>
      <c r="UH103" s="21"/>
      <c r="UI103" s="21"/>
      <c r="UJ103" s="21"/>
      <c r="UK103" s="21"/>
      <c r="UL103" s="21"/>
      <c r="UM103" s="21"/>
      <c r="UN103" s="21"/>
      <c r="UO103" s="21"/>
      <c r="UP103" s="21"/>
      <c r="UQ103" s="21"/>
      <c r="UR103" s="21"/>
      <c r="US103" s="21"/>
      <c r="UT103" s="21"/>
      <c r="UU103" s="21"/>
      <c r="UV103" s="21"/>
      <c r="UW103" s="21"/>
      <c r="UX103" s="21"/>
      <c r="UY103" s="21"/>
      <c r="UZ103" s="21"/>
      <c r="VA103" s="21"/>
      <c r="VB103" s="21"/>
      <c r="VC103" s="21"/>
      <c r="VD103" s="21"/>
      <c r="VE103" s="21"/>
      <c r="VF103" s="21"/>
      <c r="VG103" s="21"/>
      <c r="VH103" s="21"/>
      <c r="VI103" s="21"/>
      <c r="VJ103" s="21"/>
      <c r="VK103" s="21"/>
      <c r="VL103" s="21"/>
      <c r="VM103" s="21"/>
      <c r="VN103" s="21"/>
      <c r="VO103" s="21"/>
      <c r="VP103" s="21"/>
      <c r="VQ103" s="21"/>
      <c r="VR103" s="21"/>
      <c r="VS103" s="21"/>
      <c r="VT103" s="21"/>
      <c r="VU103" s="21"/>
      <c r="VV103" s="21"/>
      <c r="VW103" s="21"/>
      <c r="VX103" s="21"/>
      <c r="VY103" s="21"/>
      <c r="VZ103" s="21"/>
      <c r="WA103" s="21"/>
      <c r="WB103" s="21"/>
      <c r="WC103" s="21"/>
      <c r="WD103" s="21"/>
      <c r="WE103" s="21"/>
      <c r="WF103" s="21"/>
      <c r="WG103" s="21"/>
      <c r="WH103" s="21"/>
      <c r="WI103" s="21"/>
      <c r="WJ103" s="21"/>
      <c r="WK103" s="21"/>
      <c r="WL103" s="21"/>
      <c r="WM103" s="21"/>
      <c r="WN103" s="21"/>
      <c r="WO103" s="21"/>
      <c r="WP103" s="21"/>
      <c r="WQ103" s="21"/>
      <c r="WR103" s="21"/>
      <c r="WS103" s="21"/>
      <c r="WT103" s="21"/>
      <c r="WU103" s="21"/>
      <c r="WV103" s="21"/>
      <c r="WW103" s="21"/>
      <c r="WX103" s="21"/>
      <c r="WY103" s="21"/>
      <c r="WZ103" s="21"/>
      <c r="XA103" s="21"/>
      <c r="XB103" s="21"/>
      <c r="XC103" s="21"/>
      <c r="XD103" s="21"/>
      <c r="XE103" s="21"/>
      <c r="XF103" s="21"/>
      <c r="XG103" s="21"/>
      <c r="XH103" s="21"/>
      <c r="XI103" s="21"/>
      <c r="XJ103" s="21"/>
      <c r="XK103" s="21"/>
      <c r="XL103" s="21"/>
      <c r="XM103" s="21"/>
      <c r="XN103" s="21"/>
      <c r="XO103" s="21"/>
      <c r="XP103" s="21"/>
      <c r="XQ103" s="21"/>
      <c r="XR103" s="21"/>
      <c r="XS103" s="21"/>
      <c r="XT103" s="21"/>
      <c r="XU103" s="21"/>
      <c r="XV103" s="21"/>
      <c r="XW103" s="21"/>
      <c r="XX103" s="21"/>
      <c r="XY103" s="21"/>
      <c r="XZ103" s="21"/>
      <c r="YA103" s="21"/>
      <c r="YB103" s="21"/>
      <c r="YC103" s="21"/>
      <c r="YD103" s="21"/>
      <c r="YE103" s="21"/>
      <c r="YF103" s="21"/>
      <c r="YG103" s="21"/>
      <c r="YH103" s="21"/>
      <c r="YI103" s="21"/>
      <c r="YJ103" s="21"/>
      <c r="YK103" s="21"/>
      <c r="YL103" s="21"/>
      <c r="YM103" s="21"/>
      <c r="YN103" s="21"/>
      <c r="YO103" s="21"/>
      <c r="YP103" s="21"/>
      <c r="YQ103" s="21"/>
      <c r="YR103" s="21"/>
      <c r="YS103" s="21"/>
      <c r="YT103" s="21"/>
      <c r="YU103" s="21"/>
      <c r="YV103" s="21"/>
      <c r="YW103" s="21"/>
      <c r="YX103" s="21"/>
      <c r="YY103" s="21"/>
      <c r="YZ103" s="21"/>
      <c r="ZA103" s="21"/>
      <c r="ZB103" s="21"/>
      <c r="ZC103" s="21"/>
      <c r="ZD103" s="21"/>
      <c r="ZE103" s="21"/>
      <c r="ZF103" s="21"/>
      <c r="ZG103" s="21"/>
      <c r="ZH103" s="21"/>
      <c r="ZI103" s="21"/>
      <c r="ZJ103" s="21"/>
      <c r="ZK103" s="21"/>
      <c r="ZL103" s="21"/>
      <c r="ZM103" s="21"/>
      <c r="ZN103" s="21"/>
      <c r="ZO103" s="21"/>
      <c r="ZP103" s="21"/>
      <c r="ZQ103" s="21"/>
      <c r="ZR103" s="21"/>
      <c r="ZS103" s="21"/>
      <c r="ZT103" s="21"/>
      <c r="ZU103" s="21"/>
      <c r="ZV103" s="21"/>
      <c r="ZW103" s="21"/>
      <c r="ZX103" s="21"/>
      <c r="ZY103" s="21"/>
      <c r="ZZ103" s="21"/>
      <c r="AAA103" s="21"/>
      <c r="AAB103" s="21"/>
      <c r="AAC103" s="21"/>
      <c r="AAD103" s="21"/>
      <c r="AAE103" s="21"/>
      <c r="AAF103" s="21"/>
      <c r="AAG103" s="21"/>
      <c r="AAH103" s="21"/>
      <c r="AAI103" s="21"/>
      <c r="AAJ103" s="21"/>
      <c r="AAK103" s="21"/>
      <c r="AAL103" s="21"/>
      <c r="AAM103" s="21"/>
      <c r="AAN103" s="21"/>
      <c r="AAO103" s="21"/>
      <c r="AAP103" s="21"/>
      <c r="AAQ103" s="21"/>
      <c r="AAR103" s="21"/>
      <c r="AAS103" s="21"/>
      <c r="AAT103" s="21"/>
      <c r="AAU103" s="21"/>
      <c r="AAV103" s="21"/>
      <c r="AAW103" s="21"/>
      <c r="AAX103" s="21"/>
      <c r="AAY103" s="21"/>
      <c r="AAZ103" s="21"/>
      <c r="ABA103" s="21"/>
      <c r="ABB103" s="21"/>
      <c r="ABC103" s="21"/>
      <c r="ABD103" s="21"/>
      <c r="ABE103" s="21"/>
      <c r="ABF103" s="21"/>
      <c r="ABG103" s="21"/>
      <c r="ABH103" s="21"/>
      <c r="ABI103" s="21"/>
      <c r="ABJ103" s="21"/>
      <c r="ABK103" s="21"/>
      <c r="ABL103" s="21"/>
      <c r="ABM103" s="21"/>
      <c r="ABN103" s="21"/>
      <c r="ABO103" s="21"/>
      <c r="ABP103" s="21"/>
      <c r="ABQ103" s="21"/>
      <c r="ABR103" s="21"/>
      <c r="ABS103" s="21"/>
      <c r="ABT103" s="21"/>
      <c r="ABU103" s="21"/>
      <c r="ABV103" s="21"/>
      <c r="ABW103" s="21"/>
      <c r="ABX103" s="21"/>
      <c r="ABY103" s="21"/>
      <c r="ABZ103" s="21"/>
      <c r="ACA103" s="21"/>
      <c r="ACB103" s="21"/>
      <c r="ACC103" s="21"/>
      <c r="ACD103" s="21"/>
      <c r="ACE103" s="21"/>
      <c r="ACF103" s="21"/>
      <c r="ACG103" s="21"/>
      <c r="ACH103" s="21"/>
      <c r="ACI103" s="21"/>
      <c r="ACJ103" s="21"/>
      <c r="ACK103" s="21"/>
      <c r="ACL103" s="21"/>
      <c r="ACM103" s="21"/>
      <c r="ACN103" s="21"/>
      <c r="ACO103" s="21"/>
      <c r="ACP103" s="21"/>
      <c r="ACQ103" s="21"/>
      <c r="ACR103" s="21"/>
      <c r="ACS103" s="21"/>
      <c r="ACT103" s="21"/>
      <c r="ACU103" s="21"/>
      <c r="ACV103" s="21"/>
      <c r="ACW103" s="21"/>
      <c r="ACX103" s="21"/>
      <c r="ACY103" s="21"/>
      <c r="ACZ103" s="21"/>
      <c r="ADA103" s="21"/>
      <c r="ADB103" s="21"/>
      <c r="ADC103" s="21"/>
      <c r="ADD103" s="21"/>
      <c r="ADE103" s="21"/>
      <c r="ADF103" s="21"/>
      <c r="ADG103" s="21"/>
      <c r="ADH103" s="21"/>
      <c r="ADI103" s="21"/>
      <c r="ADJ103" s="21"/>
      <c r="ADK103" s="21"/>
      <c r="ADL103" s="21"/>
      <c r="ADM103" s="21"/>
      <c r="ADN103" s="21"/>
      <c r="ADO103" s="21"/>
      <c r="ADP103" s="21"/>
      <c r="ADQ103" s="21"/>
      <c r="ADR103" s="21"/>
      <c r="ADS103" s="21"/>
      <c r="ADT103" s="21"/>
      <c r="ADU103" s="21"/>
      <c r="ADV103" s="21"/>
      <c r="ADW103" s="21"/>
      <c r="ADX103" s="21"/>
      <c r="ADY103" s="21"/>
      <c r="ADZ103" s="21"/>
      <c r="AEA103" s="21"/>
      <c r="AEB103" s="21"/>
      <c r="AEC103" s="21"/>
      <c r="AED103" s="21"/>
      <c r="AEE103" s="21"/>
      <c r="AEF103" s="21"/>
      <c r="AEG103" s="21"/>
    </row>
    <row r="104" spans="1:813" s="93" customFormat="1" ht="45" x14ac:dyDescent="0.25">
      <c r="A104" s="91">
        <v>39</v>
      </c>
      <c r="B104" s="63" t="s">
        <v>257</v>
      </c>
      <c r="C104" s="38" t="s">
        <v>256</v>
      </c>
      <c r="D104" s="63" t="s">
        <v>255</v>
      </c>
      <c r="E104" s="36" t="s">
        <v>254</v>
      </c>
      <c r="F104" s="111">
        <v>0</v>
      </c>
      <c r="G104" s="32">
        <f>0</f>
        <v>0</v>
      </c>
      <c r="H104" s="33">
        <f t="shared" si="32"/>
        <v>0</v>
      </c>
      <c r="I104" s="32">
        <v>0</v>
      </c>
      <c r="J104" s="33">
        <f t="shared" si="22"/>
        <v>0</v>
      </c>
      <c r="K104" s="32">
        <v>0</v>
      </c>
      <c r="L104" s="33">
        <f t="shared" si="23"/>
        <v>0</v>
      </c>
      <c r="M104" s="32">
        <v>0</v>
      </c>
      <c r="N104" s="33">
        <f t="shared" si="33"/>
        <v>0</v>
      </c>
      <c r="O104" s="32">
        <f>3/2</f>
        <v>1.5</v>
      </c>
      <c r="P104" s="33">
        <f t="shared" si="24"/>
        <v>0</v>
      </c>
      <c r="Q104" s="32">
        <f>0</f>
        <v>0</v>
      </c>
      <c r="R104" s="33">
        <f t="shared" si="25"/>
        <v>0</v>
      </c>
      <c r="S104" s="32">
        <v>0</v>
      </c>
      <c r="T104" s="33">
        <f t="shared" si="34"/>
        <v>0</v>
      </c>
      <c r="U104" s="32">
        <v>0</v>
      </c>
      <c r="V104" s="33">
        <f t="shared" si="26"/>
        <v>0</v>
      </c>
      <c r="W104" s="32">
        <f>1/2</f>
        <v>0.5</v>
      </c>
      <c r="X104" s="33">
        <f t="shared" si="27"/>
        <v>0</v>
      </c>
      <c r="Y104" s="32">
        <f>1/2</f>
        <v>0.5</v>
      </c>
      <c r="Z104" s="33">
        <f t="shared" si="28"/>
        <v>0</v>
      </c>
      <c r="AA104" s="32">
        <v>0</v>
      </c>
      <c r="AB104" s="33">
        <f t="shared" si="29"/>
        <v>0</v>
      </c>
      <c r="AC104" s="32">
        <f>6/2</f>
        <v>3</v>
      </c>
      <c r="AD104" s="33">
        <f t="shared" si="30"/>
        <v>0</v>
      </c>
      <c r="AE104" s="32"/>
      <c r="AF104" s="33">
        <f t="shared" si="31"/>
        <v>0</v>
      </c>
      <c r="AG104" s="33">
        <v>0</v>
      </c>
      <c r="AH104" s="33">
        <v>0</v>
      </c>
      <c r="AI104" s="32">
        <f t="shared" si="35"/>
        <v>0</v>
      </c>
      <c r="AJ104" s="31">
        <v>1251.3971427786914</v>
      </c>
      <c r="AK104" s="31">
        <v>101.93476296138837</v>
      </c>
      <c r="AL104" s="31">
        <v>1353.3319057400797</v>
      </c>
      <c r="AM104" s="30" t="s">
        <v>18</v>
      </c>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c r="FL104" s="21"/>
      <c r="FM104" s="21"/>
      <c r="FN104" s="21"/>
      <c r="FO104" s="21"/>
      <c r="FP104" s="21"/>
      <c r="FQ104" s="21"/>
      <c r="FR104" s="21"/>
      <c r="FS104" s="21"/>
      <c r="FT104" s="21"/>
      <c r="FU104" s="21"/>
      <c r="FV104" s="21"/>
      <c r="FW104" s="21"/>
      <c r="FX104" s="21"/>
      <c r="FY104" s="21"/>
      <c r="FZ104" s="21"/>
      <c r="GA104" s="21"/>
      <c r="GB104" s="21"/>
      <c r="GC104" s="21"/>
      <c r="GD104" s="21"/>
      <c r="GE104" s="21"/>
      <c r="GF104" s="21"/>
      <c r="GG104" s="21"/>
      <c r="GH104" s="21"/>
      <c r="GI104" s="21"/>
      <c r="GJ104" s="21"/>
      <c r="GK104" s="21"/>
      <c r="GL104" s="21"/>
      <c r="GM104" s="21"/>
      <c r="GN104" s="21"/>
      <c r="GO104" s="21"/>
      <c r="GP104" s="21"/>
      <c r="GQ104" s="21"/>
      <c r="GR104" s="21"/>
      <c r="GS104" s="21"/>
      <c r="GT104" s="21"/>
      <c r="GU104" s="21"/>
      <c r="GV104" s="21"/>
      <c r="GW104" s="21"/>
      <c r="GX104" s="21"/>
      <c r="GY104" s="21"/>
      <c r="GZ104" s="21"/>
      <c r="HA104" s="21"/>
      <c r="HB104" s="21"/>
      <c r="HC104" s="21"/>
      <c r="HD104" s="21"/>
      <c r="HE104" s="21"/>
      <c r="HF104" s="21"/>
      <c r="HG104" s="21"/>
      <c r="HH104" s="21"/>
      <c r="HI104" s="21"/>
      <c r="HJ104" s="21"/>
      <c r="HK104" s="21"/>
      <c r="HL104" s="21"/>
      <c r="HM104" s="21"/>
      <c r="HN104" s="21"/>
      <c r="HO104" s="21"/>
      <c r="HP104" s="21"/>
      <c r="HQ104" s="21"/>
      <c r="HR104" s="21"/>
      <c r="HS104" s="21"/>
      <c r="HT104" s="21"/>
      <c r="HU104" s="21"/>
      <c r="HV104" s="21"/>
      <c r="HW104" s="21"/>
      <c r="HX104" s="21"/>
      <c r="HY104" s="21"/>
      <c r="HZ104" s="21"/>
      <c r="IA104" s="21"/>
      <c r="IB104" s="21"/>
      <c r="IC104" s="21"/>
      <c r="ID104" s="21"/>
      <c r="IE104" s="21"/>
      <c r="IF104" s="21"/>
      <c r="IG104" s="21"/>
      <c r="IH104" s="21"/>
      <c r="II104" s="21"/>
      <c r="IJ104" s="21"/>
      <c r="IK104" s="21"/>
      <c r="IL104" s="21"/>
      <c r="IM104" s="21"/>
      <c r="IN104" s="21"/>
      <c r="IO104" s="21"/>
      <c r="IP104" s="21"/>
      <c r="IQ104" s="21"/>
      <c r="IR104" s="21"/>
      <c r="IS104" s="21"/>
      <c r="IT104" s="21"/>
      <c r="IU104" s="21"/>
      <c r="IV104" s="21"/>
      <c r="IW104" s="21"/>
      <c r="IX104" s="21"/>
      <c r="IY104" s="21"/>
      <c r="IZ104" s="21"/>
      <c r="JA104" s="21"/>
      <c r="JB104" s="21"/>
      <c r="JC104" s="21"/>
      <c r="JD104" s="21"/>
      <c r="JE104" s="21"/>
      <c r="JF104" s="21"/>
      <c r="JG104" s="21"/>
      <c r="JH104" s="21"/>
      <c r="JI104" s="21"/>
      <c r="JJ104" s="21"/>
      <c r="JK104" s="21"/>
      <c r="JL104" s="21"/>
      <c r="JM104" s="21"/>
      <c r="JN104" s="21"/>
      <c r="JO104" s="21"/>
      <c r="JP104" s="21"/>
      <c r="JQ104" s="21"/>
      <c r="JR104" s="21"/>
      <c r="JS104" s="21"/>
      <c r="JT104" s="21"/>
      <c r="JU104" s="21"/>
      <c r="JV104" s="21"/>
      <c r="JW104" s="21"/>
      <c r="JX104" s="21"/>
      <c r="JY104" s="21"/>
      <c r="JZ104" s="21"/>
      <c r="KA104" s="21"/>
      <c r="KB104" s="21"/>
      <c r="KC104" s="21"/>
      <c r="KD104" s="21"/>
      <c r="KE104" s="21"/>
      <c r="KF104" s="21"/>
      <c r="KG104" s="21"/>
      <c r="KH104" s="21"/>
      <c r="KI104" s="21"/>
      <c r="KJ104" s="21"/>
      <c r="KK104" s="21"/>
      <c r="KL104" s="21"/>
      <c r="KM104" s="21"/>
      <c r="KN104" s="21"/>
      <c r="KO104" s="21"/>
      <c r="KP104" s="21"/>
      <c r="KQ104" s="21"/>
      <c r="KR104" s="21"/>
      <c r="KS104" s="21"/>
      <c r="KT104" s="21"/>
      <c r="KU104" s="21"/>
      <c r="KV104" s="21"/>
      <c r="KW104" s="21"/>
      <c r="KX104" s="21"/>
      <c r="KY104" s="21"/>
      <c r="KZ104" s="21"/>
      <c r="LA104" s="21"/>
      <c r="LB104" s="21"/>
      <c r="LC104" s="21"/>
      <c r="LD104" s="21"/>
      <c r="LE104" s="21"/>
      <c r="LF104" s="21"/>
      <c r="LG104" s="21"/>
      <c r="LH104" s="21"/>
      <c r="LI104" s="21"/>
      <c r="LJ104" s="21"/>
      <c r="LK104" s="21"/>
      <c r="LL104" s="21"/>
      <c r="LM104" s="21"/>
      <c r="LN104" s="21"/>
      <c r="LO104" s="21"/>
      <c r="LP104" s="21"/>
      <c r="LQ104" s="21"/>
      <c r="LR104" s="21"/>
      <c r="LS104" s="21"/>
      <c r="LT104" s="21"/>
      <c r="LU104" s="21"/>
      <c r="LV104" s="21"/>
      <c r="LW104" s="21"/>
      <c r="LX104" s="21"/>
      <c r="LY104" s="21"/>
      <c r="LZ104" s="21"/>
      <c r="MA104" s="21"/>
      <c r="MB104" s="21"/>
      <c r="MC104" s="21"/>
      <c r="MD104" s="21"/>
      <c r="ME104" s="21"/>
      <c r="MF104" s="21"/>
      <c r="MG104" s="21"/>
      <c r="MH104" s="21"/>
      <c r="MI104" s="21"/>
      <c r="MJ104" s="21"/>
      <c r="MK104" s="21"/>
      <c r="ML104" s="21"/>
      <c r="MM104" s="21"/>
      <c r="MN104" s="21"/>
      <c r="MO104" s="21"/>
      <c r="MP104" s="21"/>
      <c r="MQ104" s="21"/>
      <c r="MR104" s="21"/>
      <c r="MS104" s="21"/>
      <c r="MT104" s="21"/>
      <c r="MU104" s="21"/>
      <c r="MV104" s="21"/>
      <c r="MW104" s="21"/>
      <c r="MX104" s="21"/>
      <c r="MY104" s="21"/>
      <c r="MZ104" s="21"/>
      <c r="NA104" s="21"/>
      <c r="NB104" s="21"/>
      <c r="NC104" s="21"/>
      <c r="ND104" s="21"/>
      <c r="NE104" s="21"/>
      <c r="NF104" s="21"/>
      <c r="NG104" s="21"/>
      <c r="NH104" s="21"/>
      <c r="NI104" s="21"/>
      <c r="NJ104" s="21"/>
      <c r="NK104" s="21"/>
      <c r="NL104" s="21"/>
      <c r="NM104" s="21"/>
      <c r="NN104" s="21"/>
      <c r="NO104" s="21"/>
      <c r="NP104" s="21"/>
      <c r="NQ104" s="21"/>
      <c r="NR104" s="21"/>
      <c r="NS104" s="21"/>
      <c r="NT104" s="21"/>
      <c r="NU104" s="21"/>
      <c r="NV104" s="21"/>
      <c r="NW104" s="21"/>
      <c r="NX104" s="21"/>
      <c r="NY104" s="21"/>
      <c r="NZ104" s="21"/>
      <c r="OA104" s="21"/>
      <c r="OB104" s="21"/>
      <c r="OC104" s="21"/>
      <c r="OD104" s="21"/>
      <c r="OE104" s="21"/>
      <c r="OF104" s="21"/>
      <c r="OG104" s="21"/>
      <c r="OH104" s="21"/>
      <c r="OI104" s="21"/>
      <c r="OJ104" s="21"/>
      <c r="OK104" s="21"/>
      <c r="OL104" s="21"/>
      <c r="OM104" s="21"/>
      <c r="ON104" s="21"/>
      <c r="OO104" s="21"/>
      <c r="OP104" s="21"/>
      <c r="OQ104" s="21"/>
      <c r="OR104" s="21"/>
      <c r="OS104" s="21"/>
      <c r="OT104" s="21"/>
      <c r="OU104" s="21"/>
      <c r="OV104" s="21"/>
      <c r="OW104" s="21"/>
      <c r="OX104" s="21"/>
      <c r="OY104" s="21"/>
      <c r="OZ104" s="21"/>
      <c r="PA104" s="21"/>
      <c r="PB104" s="21"/>
      <c r="PC104" s="21"/>
      <c r="PD104" s="21"/>
      <c r="PE104" s="21"/>
      <c r="PF104" s="21"/>
      <c r="PG104" s="21"/>
      <c r="PH104" s="21"/>
      <c r="PI104" s="21"/>
      <c r="PJ104" s="21"/>
      <c r="PK104" s="21"/>
      <c r="PL104" s="21"/>
      <c r="PM104" s="21"/>
      <c r="PN104" s="21"/>
      <c r="PO104" s="21"/>
      <c r="PP104" s="21"/>
      <c r="PQ104" s="21"/>
      <c r="PR104" s="21"/>
      <c r="PS104" s="21"/>
      <c r="PT104" s="21"/>
      <c r="PU104" s="21"/>
      <c r="PV104" s="21"/>
      <c r="PW104" s="21"/>
      <c r="PX104" s="21"/>
      <c r="PY104" s="21"/>
      <c r="PZ104" s="21"/>
      <c r="QA104" s="21"/>
      <c r="QB104" s="21"/>
      <c r="QC104" s="21"/>
      <c r="QD104" s="21"/>
      <c r="QE104" s="21"/>
      <c r="QF104" s="21"/>
      <c r="QG104" s="21"/>
      <c r="QH104" s="21"/>
      <c r="QI104" s="21"/>
      <c r="QJ104" s="21"/>
      <c r="QK104" s="21"/>
      <c r="QL104" s="21"/>
      <c r="QM104" s="21"/>
      <c r="QN104" s="21"/>
      <c r="QO104" s="21"/>
      <c r="QP104" s="21"/>
      <c r="QQ104" s="21"/>
      <c r="QR104" s="21"/>
      <c r="QS104" s="21"/>
      <c r="QT104" s="21"/>
      <c r="QU104" s="21"/>
      <c r="QV104" s="21"/>
      <c r="QW104" s="21"/>
      <c r="QX104" s="21"/>
      <c r="QY104" s="21"/>
      <c r="QZ104" s="21"/>
      <c r="RA104" s="21"/>
      <c r="RB104" s="21"/>
      <c r="RC104" s="21"/>
      <c r="RD104" s="21"/>
      <c r="RE104" s="21"/>
      <c r="RF104" s="21"/>
      <c r="RG104" s="21"/>
      <c r="RH104" s="21"/>
      <c r="RI104" s="21"/>
      <c r="RJ104" s="21"/>
      <c r="RK104" s="21"/>
      <c r="RL104" s="21"/>
      <c r="RM104" s="21"/>
      <c r="RN104" s="21"/>
      <c r="RO104" s="21"/>
      <c r="RP104" s="21"/>
      <c r="RQ104" s="21"/>
      <c r="RR104" s="21"/>
      <c r="RS104" s="21"/>
      <c r="RT104" s="21"/>
      <c r="RU104" s="21"/>
      <c r="RV104" s="21"/>
      <c r="RW104" s="21"/>
      <c r="RX104" s="21"/>
      <c r="RY104" s="21"/>
      <c r="RZ104" s="21"/>
      <c r="SA104" s="21"/>
      <c r="SB104" s="21"/>
      <c r="SC104" s="21"/>
      <c r="SD104" s="21"/>
      <c r="SE104" s="21"/>
      <c r="SF104" s="21"/>
      <c r="SG104" s="21"/>
      <c r="SH104" s="21"/>
      <c r="SI104" s="21"/>
      <c r="SJ104" s="21"/>
      <c r="SK104" s="21"/>
      <c r="SL104" s="21"/>
      <c r="SM104" s="21"/>
      <c r="SN104" s="21"/>
      <c r="SO104" s="21"/>
      <c r="SP104" s="21"/>
      <c r="SQ104" s="21"/>
      <c r="SR104" s="21"/>
      <c r="SS104" s="21"/>
      <c r="ST104" s="21"/>
      <c r="SU104" s="21"/>
      <c r="SV104" s="21"/>
      <c r="SW104" s="21"/>
      <c r="SX104" s="21"/>
      <c r="SY104" s="21"/>
      <c r="SZ104" s="21"/>
      <c r="TA104" s="21"/>
      <c r="TB104" s="21"/>
      <c r="TC104" s="21"/>
      <c r="TD104" s="21"/>
      <c r="TE104" s="21"/>
      <c r="TF104" s="21"/>
      <c r="TG104" s="21"/>
      <c r="TH104" s="21"/>
      <c r="TI104" s="21"/>
      <c r="TJ104" s="21"/>
      <c r="TK104" s="21"/>
      <c r="TL104" s="21"/>
      <c r="TM104" s="21"/>
      <c r="TN104" s="21"/>
      <c r="TO104" s="21"/>
      <c r="TP104" s="21"/>
      <c r="TQ104" s="21"/>
      <c r="TR104" s="21"/>
      <c r="TS104" s="21"/>
      <c r="TT104" s="21"/>
      <c r="TU104" s="21"/>
      <c r="TV104" s="21"/>
      <c r="TW104" s="21"/>
      <c r="TX104" s="21"/>
      <c r="TY104" s="21"/>
      <c r="TZ104" s="21"/>
      <c r="UA104" s="21"/>
      <c r="UB104" s="21"/>
      <c r="UC104" s="21"/>
      <c r="UD104" s="21"/>
      <c r="UE104" s="21"/>
      <c r="UF104" s="21"/>
      <c r="UG104" s="21"/>
      <c r="UH104" s="21"/>
      <c r="UI104" s="21"/>
      <c r="UJ104" s="21"/>
      <c r="UK104" s="21"/>
      <c r="UL104" s="21"/>
      <c r="UM104" s="21"/>
      <c r="UN104" s="21"/>
      <c r="UO104" s="21"/>
      <c r="UP104" s="21"/>
      <c r="UQ104" s="21"/>
      <c r="UR104" s="21"/>
      <c r="US104" s="21"/>
      <c r="UT104" s="21"/>
      <c r="UU104" s="21"/>
      <c r="UV104" s="21"/>
      <c r="UW104" s="21"/>
      <c r="UX104" s="21"/>
      <c r="UY104" s="21"/>
      <c r="UZ104" s="21"/>
      <c r="VA104" s="21"/>
      <c r="VB104" s="21"/>
      <c r="VC104" s="21"/>
      <c r="VD104" s="21"/>
      <c r="VE104" s="21"/>
      <c r="VF104" s="21"/>
      <c r="VG104" s="21"/>
      <c r="VH104" s="21"/>
      <c r="VI104" s="21"/>
      <c r="VJ104" s="21"/>
      <c r="VK104" s="21"/>
      <c r="VL104" s="21"/>
      <c r="VM104" s="21"/>
      <c r="VN104" s="21"/>
      <c r="VO104" s="21"/>
      <c r="VP104" s="21"/>
      <c r="VQ104" s="21"/>
      <c r="VR104" s="21"/>
      <c r="VS104" s="21"/>
      <c r="VT104" s="21"/>
      <c r="VU104" s="21"/>
      <c r="VV104" s="21"/>
      <c r="VW104" s="21"/>
      <c r="VX104" s="21"/>
      <c r="VY104" s="21"/>
      <c r="VZ104" s="21"/>
      <c r="WA104" s="21"/>
      <c r="WB104" s="21"/>
      <c r="WC104" s="21"/>
      <c r="WD104" s="21"/>
      <c r="WE104" s="21"/>
      <c r="WF104" s="21"/>
      <c r="WG104" s="21"/>
      <c r="WH104" s="21"/>
      <c r="WI104" s="21"/>
      <c r="WJ104" s="21"/>
      <c r="WK104" s="21"/>
      <c r="WL104" s="21"/>
      <c r="WM104" s="21"/>
      <c r="WN104" s="21"/>
      <c r="WO104" s="21"/>
      <c r="WP104" s="21"/>
      <c r="WQ104" s="21"/>
      <c r="WR104" s="21"/>
      <c r="WS104" s="21"/>
      <c r="WT104" s="21"/>
      <c r="WU104" s="21"/>
      <c r="WV104" s="21"/>
      <c r="WW104" s="21"/>
      <c r="WX104" s="21"/>
      <c r="WY104" s="21"/>
      <c r="WZ104" s="21"/>
      <c r="XA104" s="21"/>
      <c r="XB104" s="21"/>
      <c r="XC104" s="21"/>
      <c r="XD104" s="21"/>
      <c r="XE104" s="21"/>
      <c r="XF104" s="21"/>
      <c r="XG104" s="21"/>
      <c r="XH104" s="21"/>
      <c r="XI104" s="21"/>
      <c r="XJ104" s="21"/>
      <c r="XK104" s="21"/>
      <c r="XL104" s="21"/>
      <c r="XM104" s="21"/>
      <c r="XN104" s="21"/>
      <c r="XO104" s="21"/>
      <c r="XP104" s="21"/>
      <c r="XQ104" s="21"/>
      <c r="XR104" s="21"/>
      <c r="XS104" s="21"/>
      <c r="XT104" s="21"/>
      <c r="XU104" s="21"/>
      <c r="XV104" s="21"/>
      <c r="XW104" s="21"/>
      <c r="XX104" s="21"/>
      <c r="XY104" s="21"/>
      <c r="XZ104" s="21"/>
      <c r="YA104" s="21"/>
      <c r="YB104" s="21"/>
      <c r="YC104" s="21"/>
      <c r="YD104" s="21"/>
      <c r="YE104" s="21"/>
      <c r="YF104" s="21"/>
      <c r="YG104" s="21"/>
      <c r="YH104" s="21"/>
      <c r="YI104" s="21"/>
      <c r="YJ104" s="21"/>
      <c r="YK104" s="21"/>
      <c r="YL104" s="21"/>
      <c r="YM104" s="21"/>
      <c r="YN104" s="21"/>
      <c r="YO104" s="21"/>
      <c r="YP104" s="21"/>
      <c r="YQ104" s="21"/>
      <c r="YR104" s="21"/>
      <c r="YS104" s="21"/>
      <c r="YT104" s="21"/>
      <c r="YU104" s="21"/>
      <c r="YV104" s="21"/>
      <c r="YW104" s="21"/>
      <c r="YX104" s="21"/>
      <c r="YY104" s="21"/>
      <c r="YZ104" s="21"/>
      <c r="ZA104" s="21"/>
      <c r="ZB104" s="21"/>
      <c r="ZC104" s="21"/>
      <c r="ZD104" s="21"/>
      <c r="ZE104" s="21"/>
      <c r="ZF104" s="21"/>
      <c r="ZG104" s="21"/>
      <c r="ZH104" s="21"/>
      <c r="ZI104" s="21"/>
      <c r="ZJ104" s="21"/>
      <c r="ZK104" s="21"/>
      <c r="ZL104" s="21"/>
      <c r="ZM104" s="21"/>
      <c r="ZN104" s="21"/>
      <c r="ZO104" s="21"/>
      <c r="ZP104" s="21"/>
      <c r="ZQ104" s="21"/>
      <c r="ZR104" s="21"/>
      <c r="ZS104" s="21"/>
      <c r="ZT104" s="21"/>
      <c r="ZU104" s="21"/>
      <c r="ZV104" s="21"/>
      <c r="ZW104" s="21"/>
      <c r="ZX104" s="21"/>
      <c r="ZY104" s="21"/>
      <c r="ZZ104" s="21"/>
      <c r="AAA104" s="21"/>
      <c r="AAB104" s="21"/>
      <c r="AAC104" s="21"/>
      <c r="AAD104" s="21"/>
      <c r="AAE104" s="21"/>
      <c r="AAF104" s="21"/>
      <c r="AAG104" s="21"/>
      <c r="AAH104" s="21"/>
      <c r="AAI104" s="21"/>
      <c r="AAJ104" s="21"/>
      <c r="AAK104" s="21"/>
      <c r="AAL104" s="21"/>
      <c r="AAM104" s="21"/>
      <c r="AAN104" s="21"/>
      <c r="AAO104" s="21"/>
      <c r="AAP104" s="21"/>
      <c r="AAQ104" s="21"/>
      <c r="AAR104" s="21"/>
      <c r="AAS104" s="21"/>
      <c r="AAT104" s="21"/>
      <c r="AAU104" s="21"/>
      <c r="AAV104" s="21"/>
      <c r="AAW104" s="21"/>
      <c r="AAX104" s="21"/>
      <c r="AAY104" s="21"/>
      <c r="AAZ104" s="21"/>
      <c r="ABA104" s="21"/>
      <c r="ABB104" s="21"/>
      <c r="ABC104" s="21"/>
      <c r="ABD104" s="21"/>
      <c r="ABE104" s="21"/>
      <c r="ABF104" s="21"/>
      <c r="ABG104" s="21"/>
      <c r="ABH104" s="21"/>
      <c r="ABI104" s="21"/>
      <c r="ABJ104" s="21"/>
      <c r="ABK104" s="21"/>
      <c r="ABL104" s="21"/>
      <c r="ABM104" s="21"/>
      <c r="ABN104" s="21"/>
      <c r="ABO104" s="21"/>
      <c r="ABP104" s="21"/>
      <c r="ABQ104" s="21"/>
      <c r="ABR104" s="21"/>
      <c r="ABS104" s="21"/>
      <c r="ABT104" s="21"/>
      <c r="ABU104" s="21"/>
      <c r="ABV104" s="21"/>
      <c r="ABW104" s="21"/>
      <c r="ABX104" s="21"/>
      <c r="ABY104" s="21"/>
      <c r="ABZ104" s="21"/>
      <c r="ACA104" s="21"/>
      <c r="ACB104" s="21"/>
      <c r="ACC104" s="21"/>
      <c r="ACD104" s="21"/>
      <c r="ACE104" s="21"/>
      <c r="ACF104" s="21"/>
      <c r="ACG104" s="21"/>
      <c r="ACH104" s="21"/>
      <c r="ACI104" s="21"/>
      <c r="ACJ104" s="21"/>
      <c r="ACK104" s="21"/>
      <c r="ACL104" s="21"/>
      <c r="ACM104" s="21"/>
      <c r="ACN104" s="21"/>
      <c r="ACO104" s="21"/>
      <c r="ACP104" s="21"/>
      <c r="ACQ104" s="21"/>
      <c r="ACR104" s="21"/>
      <c r="ACS104" s="21"/>
      <c r="ACT104" s="21"/>
      <c r="ACU104" s="21"/>
      <c r="ACV104" s="21"/>
      <c r="ACW104" s="21"/>
      <c r="ACX104" s="21"/>
      <c r="ACY104" s="21"/>
      <c r="ACZ104" s="21"/>
      <c r="ADA104" s="21"/>
      <c r="ADB104" s="21"/>
      <c r="ADC104" s="21"/>
      <c r="ADD104" s="21"/>
      <c r="ADE104" s="21"/>
      <c r="ADF104" s="21"/>
      <c r="ADG104" s="21"/>
      <c r="ADH104" s="21"/>
      <c r="ADI104" s="21"/>
      <c r="ADJ104" s="21"/>
      <c r="ADK104" s="21"/>
      <c r="ADL104" s="21"/>
      <c r="ADM104" s="21"/>
      <c r="ADN104" s="21"/>
      <c r="ADO104" s="21"/>
      <c r="ADP104" s="21"/>
      <c r="ADQ104" s="21"/>
      <c r="ADR104" s="21"/>
      <c r="ADS104" s="21"/>
      <c r="ADT104" s="21"/>
      <c r="ADU104" s="21"/>
      <c r="ADV104" s="21"/>
      <c r="ADW104" s="21"/>
      <c r="ADX104" s="21"/>
      <c r="ADY104" s="21"/>
      <c r="ADZ104" s="21"/>
      <c r="AEA104" s="21"/>
      <c r="AEB104" s="21"/>
      <c r="AEC104" s="21"/>
      <c r="AED104" s="21"/>
      <c r="AEE104" s="21"/>
      <c r="AEF104" s="21"/>
      <c r="AEG104" s="21"/>
    </row>
    <row r="105" spans="1:813" s="93" customFormat="1" ht="60" x14ac:dyDescent="0.25">
      <c r="A105" s="91">
        <v>40</v>
      </c>
      <c r="B105" s="63" t="s">
        <v>253</v>
      </c>
      <c r="C105" s="38" t="s">
        <v>252</v>
      </c>
      <c r="D105" s="63" t="s">
        <v>251</v>
      </c>
      <c r="E105" s="36" t="s">
        <v>250</v>
      </c>
      <c r="F105" s="111">
        <v>6.7</v>
      </c>
      <c r="G105" s="32">
        <f>0</f>
        <v>0</v>
      </c>
      <c r="H105" s="33">
        <f t="shared" si="32"/>
        <v>0</v>
      </c>
      <c r="I105" s="32">
        <v>0</v>
      </c>
      <c r="J105" s="33">
        <f t="shared" si="22"/>
        <v>0</v>
      </c>
      <c r="K105" s="32">
        <f>13/2</f>
        <v>6.5</v>
      </c>
      <c r="L105" s="33">
        <f t="shared" si="23"/>
        <v>40</v>
      </c>
      <c r="M105" s="32">
        <f>22/2</f>
        <v>11</v>
      </c>
      <c r="N105" s="33">
        <f t="shared" si="33"/>
        <v>70</v>
      </c>
      <c r="O105" s="32">
        <v>0</v>
      </c>
      <c r="P105" s="33">
        <f t="shared" si="24"/>
        <v>0</v>
      </c>
      <c r="Q105" s="32">
        <f>9/6</f>
        <v>1.5</v>
      </c>
      <c r="R105" s="33">
        <v>30</v>
      </c>
      <c r="S105" s="32">
        <f>26/2</f>
        <v>13</v>
      </c>
      <c r="T105" s="33">
        <f t="shared" si="34"/>
        <v>90</v>
      </c>
      <c r="U105" s="32">
        <f>12/2</f>
        <v>6</v>
      </c>
      <c r="V105" s="33">
        <f t="shared" si="26"/>
        <v>40</v>
      </c>
      <c r="W105" s="32">
        <f>0</f>
        <v>0</v>
      </c>
      <c r="X105" s="33">
        <f t="shared" si="27"/>
        <v>0</v>
      </c>
      <c r="Y105" s="32">
        <f>18/2</f>
        <v>9</v>
      </c>
      <c r="Z105" s="33">
        <f t="shared" si="28"/>
        <v>60</v>
      </c>
      <c r="AA105" s="32">
        <f>2/2</f>
        <v>1</v>
      </c>
      <c r="AB105" s="33">
        <f t="shared" si="29"/>
        <v>10</v>
      </c>
      <c r="AC105" s="32">
        <f>9/2</f>
        <v>4.5</v>
      </c>
      <c r="AD105" s="33">
        <f t="shared" si="30"/>
        <v>30</v>
      </c>
      <c r="AE105" s="32"/>
      <c r="AF105" s="33">
        <f t="shared" si="31"/>
        <v>370</v>
      </c>
      <c r="AG105" s="33">
        <v>5.4</v>
      </c>
      <c r="AH105" s="33">
        <f>111/2</f>
        <v>55.5</v>
      </c>
      <c r="AI105" s="32">
        <f t="shared" si="35"/>
        <v>300</v>
      </c>
      <c r="AJ105" s="31">
        <v>44120.115786459195</v>
      </c>
      <c r="AK105" s="31">
        <v>3593.8819026991209</v>
      </c>
      <c r="AL105" s="31">
        <v>47713.997689158314</v>
      </c>
      <c r="AM105" s="30" t="s">
        <v>18</v>
      </c>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c r="FB105" s="21"/>
      <c r="FC105" s="21"/>
      <c r="FD105" s="21"/>
      <c r="FE105" s="21"/>
      <c r="FF105" s="21"/>
      <c r="FG105" s="21"/>
      <c r="FH105" s="21"/>
      <c r="FI105" s="21"/>
      <c r="FJ105" s="21"/>
      <c r="FK105" s="21"/>
      <c r="FL105" s="21"/>
      <c r="FM105" s="21"/>
      <c r="FN105" s="21"/>
      <c r="FO105" s="21"/>
      <c r="FP105" s="21"/>
      <c r="FQ105" s="21"/>
      <c r="FR105" s="21"/>
      <c r="FS105" s="21"/>
      <c r="FT105" s="21"/>
      <c r="FU105" s="21"/>
      <c r="FV105" s="21"/>
      <c r="FW105" s="21"/>
      <c r="FX105" s="21"/>
      <c r="FY105" s="21"/>
      <c r="FZ105" s="21"/>
      <c r="GA105" s="21"/>
      <c r="GB105" s="21"/>
      <c r="GC105" s="21"/>
      <c r="GD105" s="21"/>
      <c r="GE105" s="21"/>
      <c r="GF105" s="21"/>
      <c r="GG105" s="21"/>
      <c r="GH105" s="21"/>
      <c r="GI105" s="21"/>
      <c r="GJ105" s="21"/>
      <c r="GK105" s="21"/>
      <c r="GL105" s="21"/>
      <c r="GM105" s="21"/>
      <c r="GN105" s="21"/>
      <c r="GO105" s="21"/>
      <c r="GP105" s="21"/>
      <c r="GQ105" s="21"/>
      <c r="GR105" s="21"/>
      <c r="GS105" s="21"/>
      <c r="GT105" s="21"/>
      <c r="GU105" s="21"/>
      <c r="GV105" s="21"/>
      <c r="GW105" s="21"/>
      <c r="GX105" s="21"/>
      <c r="GY105" s="21"/>
      <c r="GZ105" s="21"/>
      <c r="HA105" s="21"/>
      <c r="HB105" s="21"/>
      <c r="HC105" s="21"/>
      <c r="HD105" s="21"/>
      <c r="HE105" s="21"/>
      <c r="HF105" s="21"/>
      <c r="HG105" s="21"/>
      <c r="HH105" s="21"/>
      <c r="HI105" s="21"/>
      <c r="HJ105" s="21"/>
      <c r="HK105" s="21"/>
      <c r="HL105" s="21"/>
      <c r="HM105" s="21"/>
      <c r="HN105" s="21"/>
      <c r="HO105" s="21"/>
      <c r="HP105" s="21"/>
      <c r="HQ105" s="21"/>
      <c r="HR105" s="21"/>
      <c r="HS105" s="21"/>
      <c r="HT105" s="21"/>
      <c r="HU105" s="21"/>
      <c r="HV105" s="21"/>
      <c r="HW105" s="21"/>
      <c r="HX105" s="21"/>
      <c r="HY105" s="21"/>
      <c r="HZ105" s="21"/>
      <c r="IA105" s="21"/>
      <c r="IB105" s="21"/>
      <c r="IC105" s="21"/>
      <c r="ID105" s="21"/>
      <c r="IE105" s="21"/>
      <c r="IF105" s="21"/>
      <c r="IG105" s="21"/>
      <c r="IH105" s="21"/>
      <c r="II105" s="21"/>
      <c r="IJ105" s="21"/>
      <c r="IK105" s="21"/>
      <c r="IL105" s="21"/>
      <c r="IM105" s="21"/>
      <c r="IN105" s="21"/>
      <c r="IO105" s="21"/>
      <c r="IP105" s="21"/>
      <c r="IQ105" s="21"/>
      <c r="IR105" s="21"/>
      <c r="IS105" s="21"/>
      <c r="IT105" s="21"/>
      <c r="IU105" s="21"/>
      <c r="IV105" s="21"/>
      <c r="IW105" s="21"/>
      <c r="IX105" s="21"/>
      <c r="IY105" s="21"/>
      <c r="IZ105" s="21"/>
      <c r="JA105" s="21"/>
      <c r="JB105" s="21"/>
      <c r="JC105" s="21"/>
      <c r="JD105" s="21"/>
      <c r="JE105" s="21"/>
      <c r="JF105" s="21"/>
      <c r="JG105" s="21"/>
      <c r="JH105" s="21"/>
      <c r="JI105" s="21"/>
      <c r="JJ105" s="21"/>
      <c r="JK105" s="21"/>
      <c r="JL105" s="21"/>
      <c r="JM105" s="21"/>
      <c r="JN105" s="21"/>
      <c r="JO105" s="21"/>
      <c r="JP105" s="21"/>
      <c r="JQ105" s="21"/>
      <c r="JR105" s="21"/>
      <c r="JS105" s="21"/>
      <c r="JT105" s="21"/>
      <c r="JU105" s="21"/>
      <c r="JV105" s="21"/>
      <c r="JW105" s="21"/>
      <c r="JX105" s="21"/>
      <c r="JY105" s="21"/>
      <c r="JZ105" s="21"/>
      <c r="KA105" s="21"/>
      <c r="KB105" s="21"/>
      <c r="KC105" s="21"/>
      <c r="KD105" s="21"/>
      <c r="KE105" s="21"/>
      <c r="KF105" s="21"/>
      <c r="KG105" s="21"/>
      <c r="KH105" s="21"/>
      <c r="KI105" s="21"/>
      <c r="KJ105" s="21"/>
      <c r="KK105" s="21"/>
      <c r="KL105" s="21"/>
      <c r="KM105" s="21"/>
      <c r="KN105" s="21"/>
      <c r="KO105" s="21"/>
      <c r="KP105" s="21"/>
      <c r="KQ105" s="21"/>
      <c r="KR105" s="21"/>
      <c r="KS105" s="21"/>
      <c r="KT105" s="21"/>
      <c r="KU105" s="21"/>
      <c r="KV105" s="21"/>
      <c r="KW105" s="21"/>
      <c r="KX105" s="21"/>
      <c r="KY105" s="21"/>
      <c r="KZ105" s="21"/>
      <c r="LA105" s="21"/>
      <c r="LB105" s="21"/>
      <c r="LC105" s="21"/>
      <c r="LD105" s="21"/>
      <c r="LE105" s="21"/>
      <c r="LF105" s="21"/>
      <c r="LG105" s="21"/>
      <c r="LH105" s="21"/>
      <c r="LI105" s="21"/>
      <c r="LJ105" s="21"/>
      <c r="LK105" s="21"/>
      <c r="LL105" s="21"/>
      <c r="LM105" s="21"/>
      <c r="LN105" s="21"/>
      <c r="LO105" s="21"/>
      <c r="LP105" s="21"/>
      <c r="LQ105" s="21"/>
      <c r="LR105" s="21"/>
      <c r="LS105" s="21"/>
      <c r="LT105" s="21"/>
      <c r="LU105" s="21"/>
      <c r="LV105" s="21"/>
      <c r="LW105" s="21"/>
      <c r="LX105" s="21"/>
      <c r="LY105" s="21"/>
      <c r="LZ105" s="21"/>
      <c r="MA105" s="21"/>
      <c r="MB105" s="21"/>
      <c r="MC105" s="21"/>
      <c r="MD105" s="21"/>
      <c r="ME105" s="21"/>
      <c r="MF105" s="21"/>
      <c r="MG105" s="21"/>
      <c r="MH105" s="21"/>
      <c r="MI105" s="21"/>
      <c r="MJ105" s="21"/>
      <c r="MK105" s="21"/>
      <c r="ML105" s="21"/>
      <c r="MM105" s="21"/>
      <c r="MN105" s="21"/>
      <c r="MO105" s="21"/>
      <c r="MP105" s="21"/>
      <c r="MQ105" s="21"/>
      <c r="MR105" s="21"/>
      <c r="MS105" s="21"/>
      <c r="MT105" s="21"/>
      <c r="MU105" s="21"/>
      <c r="MV105" s="21"/>
      <c r="MW105" s="21"/>
      <c r="MX105" s="21"/>
      <c r="MY105" s="21"/>
      <c r="MZ105" s="21"/>
      <c r="NA105" s="21"/>
      <c r="NB105" s="21"/>
      <c r="NC105" s="21"/>
      <c r="ND105" s="21"/>
      <c r="NE105" s="21"/>
      <c r="NF105" s="21"/>
      <c r="NG105" s="21"/>
      <c r="NH105" s="21"/>
      <c r="NI105" s="21"/>
      <c r="NJ105" s="21"/>
      <c r="NK105" s="21"/>
      <c r="NL105" s="21"/>
      <c r="NM105" s="21"/>
      <c r="NN105" s="21"/>
      <c r="NO105" s="21"/>
      <c r="NP105" s="21"/>
      <c r="NQ105" s="21"/>
      <c r="NR105" s="21"/>
      <c r="NS105" s="21"/>
      <c r="NT105" s="21"/>
      <c r="NU105" s="21"/>
      <c r="NV105" s="21"/>
      <c r="NW105" s="21"/>
      <c r="NX105" s="21"/>
      <c r="NY105" s="21"/>
      <c r="NZ105" s="21"/>
      <c r="OA105" s="21"/>
      <c r="OB105" s="21"/>
      <c r="OC105" s="21"/>
      <c r="OD105" s="21"/>
      <c r="OE105" s="21"/>
      <c r="OF105" s="21"/>
      <c r="OG105" s="21"/>
      <c r="OH105" s="21"/>
      <c r="OI105" s="21"/>
      <c r="OJ105" s="21"/>
      <c r="OK105" s="21"/>
      <c r="OL105" s="21"/>
      <c r="OM105" s="21"/>
      <c r="ON105" s="21"/>
      <c r="OO105" s="21"/>
      <c r="OP105" s="21"/>
      <c r="OQ105" s="21"/>
      <c r="OR105" s="21"/>
      <c r="OS105" s="21"/>
      <c r="OT105" s="21"/>
      <c r="OU105" s="21"/>
      <c r="OV105" s="21"/>
      <c r="OW105" s="21"/>
      <c r="OX105" s="21"/>
      <c r="OY105" s="21"/>
      <c r="OZ105" s="21"/>
      <c r="PA105" s="21"/>
      <c r="PB105" s="21"/>
      <c r="PC105" s="21"/>
      <c r="PD105" s="21"/>
      <c r="PE105" s="21"/>
      <c r="PF105" s="21"/>
      <c r="PG105" s="21"/>
      <c r="PH105" s="21"/>
      <c r="PI105" s="21"/>
      <c r="PJ105" s="21"/>
      <c r="PK105" s="21"/>
      <c r="PL105" s="21"/>
      <c r="PM105" s="21"/>
      <c r="PN105" s="21"/>
      <c r="PO105" s="21"/>
      <c r="PP105" s="21"/>
      <c r="PQ105" s="21"/>
      <c r="PR105" s="21"/>
      <c r="PS105" s="21"/>
      <c r="PT105" s="21"/>
      <c r="PU105" s="21"/>
      <c r="PV105" s="21"/>
      <c r="PW105" s="21"/>
      <c r="PX105" s="21"/>
      <c r="PY105" s="21"/>
      <c r="PZ105" s="21"/>
      <c r="QA105" s="21"/>
      <c r="QB105" s="21"/>
      <c r="QC105" s="21"/>
      <c r="QD105" s="21"/>
      <c r="QE105" s="21"/>
      <c r="QF105" s="21"/>
      <c r="QG105" s="21"/>
      <c r="QH105" s="21"/>
      <c r="QI105" s="21"/>
      <c r="QJ105" s="21"/>
      <c r="QK105" s="21"/>
      <c r="QL105" s="21"/>
      <c r="QM105" s="21"/>
      <c r="QN105" s="21"/>
      <c r="QO105" s="21"/>
      <c r="QP105" s="21"/>
      <c r="QQ105" s="21"/>
      <c r="QR105" s="21"/>
      <c r="QS105" s="21"/>
      <c r="QT105" s="21"/>
      <c r="QU105" s="21"/>
      <c r="QV105" s="21"/>
      <c r="QW105" s="21"/>
      <c r="QX105" s="21"/>
      <c r="QY105" s="21"/>
      <c r="QZ105" s="21"/>
      <c r="RA105" s="21"/>
      <c r="RB105" s="21"/>
      <c r="RC105" s="21"/>
      <c r="RD105" s="21"/>
      <c r="RE105" s="21"/>
      <c r="RF105" s="21"/>
      <c r="RG105" s="21"/>
      <c r="RH105" s="21"/>
      <c r="RI105" s="21"/>
      <c r="RJ105" s="21"/>
      <c r="RK105" s="21"/>
      <c r="RL105" s="21"/>
      <c r="RM105" s="21"/>
      <c r="RN105" s="21"/>
      <c r="RO105" s="21"/>
      <c r="RP105" s="21"/>
      <c r="RQ105" s="21"/>
      <c r="RR105" s="21"/>
      <c r="RS105" s="21"/>
      <c r="RT105" s="21"/>
      <c r="RU105" s="21"/>
      <c r="RV105" s="21"/>
      <c r="RW105" s="21"/>
      <c r="RX105" s="21"/>
      <c r="RY105" s="21"/>
      <c r="RZ105" s="21"/>
      <c r="SA105" s="21"/>
      <c r="SB105" s="21"/>
      <c r="SC105" s="21"/>
      <c r="SD105" s="21"/>
      <c r="SE105" s="21"/>
      <c r="SF105" s="21"/>
      <c r="SG105" s="21"/>
      <c r="SH105" s="21"/>
      <c r="SI105" s="21"/>
      <c r="SJ105" s="21"/>
      <c r="SK105" s="21"/>
      <c r="SL105" s="21"/>
      <c r="SM105" s="21"/>
      <c r="SN105" s="21"/>
      <c r="SO105" s="21"/>
      <c r="SP105" s="21"/>
      <c r="SQ105" s="21"/>
      <c r="SR105" s="21"/>
      <c r="SS105" s="21"/>
      <c r="ST105" s="21"/>
      <c r="SU105" s="21"/>
      <c r="SV105" s="21"/>
      <c r="SW105" s="21"/>
      <c r="SX105" s="21"/>
      <c r="SY105" s="21"/>
      <c r="SZ105" s="21"/>
      <c r="TA105" s="21"/>
      <c r="TB105" s="21"/>
      <c r="TC105" s="21"/>
      <c r="TD105" s="21"/>
      <c r="TE105" s="21"/>
      <c r="TF105" s="21"/>
      <c r="TG105" s="21"/>
      <c r="TH105" s="21"/>
      <c r="TI105" s="21"/>
      <c r="TJ105" s="21"/>
      <c r="TK105" s="21"/>
      <c r="TL105" s="21"/>
      <c r="TM105" s="21"/>
      <c r="TN105" s="21"/>
      <c r="TO105" s="21"/>
      <c r="TP105" s="21"/>
      <c r="TQ105" s="21"/>
      <c r="TR105" s="21"/>
      <c r="TS105" s="21"/>
      <c r="TT105" s="21"/>
      <c r="TU105" s="21"/>
      <c r="TV105" s="21"/>
      <c r="TW105" s="21"/>
      <c r="TX105" s="21"/>
      <c r="TY105" s="21"/>
      <c r="TZ105" s="21"/>
      <c r="UA105" s="21"/>
      <c r="UB105" s="21"/>
      <c r="UC105" s="21"/>
      <c r="UD105" s="21"/>
      <c r="UE105" s="21"/>
      <c r="UF105" s="21"/>
      <c r="UG105" s="21"/>
      <c r="UH105" s="21"/>
      <c r="UI105" s="21"/>
      <c r="UJ105" s="21"/>
      <c r="UK105" s="21"/>
      <c r="UL105" s="21"/>
      <c r="UM105" s="21"/>
      <c r="UN105" s="21"/>
      <c r="UO105" s="21"/>
      <c r="UP105" s="21"/>
      <c r="UQ105" s="21"/>
      <c r="UR105" s="21"/>
      <c r="US105" s="21"/>
      <c r="UT105" s="21"/>
      <c r="UU105" s="21"/>
      <c r="UV105" s="21"/>
      <c r="UW105" s="21"/>
      <c r="UX105" s="21"/>
      <c r="UY105" s="21"/>
      <c r="UZ105" s="21"/>
      <c r="VA105" s="21"/>
      <c r="VB105" s="21"/>
      <c r="VC105" s="21"/>
      <c r="VD105" s="21"/>
      <c r="VE105" s="21"/>
      <c r="VF105" s="21"/>
      <c r="VG105" s="21"/>
      <c r="VH105" s="21"/>
      <c r="VI105" s="21"/>
      <c r="VJ105" s="21"/>
      <c r="VK105" s="21"/>
      <c r="VL105" s="21"/>
      <c r="VM105" s="21"/>
      <c r="VN105" s="21"/>
      <c r="VO105" s="21"/>
      <c r="VP105" s="21"/>
      <c r="VQ105" s="21"/>
      <c r="VR105" s="21"/>
      <c r="VS105" s="21"/>
      <c r="VT105" s="21"/>
      <c r="VU105" s="21"/>
      <c r="VV105" s="21"/>
      <c r="VW105" s="21"/>
      <c r="VX105" s="21"/>
      <c r="VY105" s="21"/>
      <c r="VZ105" s="21"/>
      <c r="WA105" s="21"/>
      <c r="WB105" s="21"/>
      <c r="WC105" s="21"/>
      <c r="WD105" s="21"/>
      <c r="WE105" s="21"/>
      <c r="WF105" s="21"/>
      <c r="WG105" s="21"/>
      <c r="WH105" s="21"/>
      <c r="WI105" s="21"/>
      <c r="WJ105" s="21"/>
      <c r="WK105" s="21"/>
      <c r="WL105" s="21"/>
      <c r="WM105" s="21"/>
      <c r="WN105" s="21"/>
      <c r="WO105" s="21"/>
      <c r="WP105" s="21"/>
      <c r="WQ105" s="21"/>
      <c r="WR105" s="21"/>
      <c r="WS105" s="21"/>
      <c r="WT105" s="21"/>
      <c r="WU105" s="21"/>
      <c r="WV105" s="21"/>
      <c r="WW105" s="21"/>
      <c r="WX105" s="21"/>
      <c r="WY105" s="21"/>
      <c r="WZ105" s="21"/>
      <c r="XA105" s="21"/>
      <c r="XB105" s="21"/>
      <c r="XC105" s="21"/>
      <c r="XD105" s="21"/>
      <c r="XE105" s="21"/>
      <c r="XF105" s="21"/>
      <c r="XG105" s="21"/>
      <c r="XH105" s="21"/>
      <c r="XI105" s="21"/>
      <c r="XJ105" s="21"/>
      <c r="XK105" s="21"/>
      <c r="XL105" s="21"/>
      <c r="XM105" s="21"/>
      <c r="XN105" s="21"/>
      <c r="XO105" s="21"/>
      <c r="XP105" s="21"/>
      <c r="XQ105" s="21"/>
      <c r="XR105" s="21"/>
      <c r="XS105" s="21"/>
      <c r="XT105" s="21"/>
      <c r="XU105" s="21"/>
      <c r="XV105" s="21"/>
      <c r="XW105" s="21"/>
      <c r="XX105" s="21"/>
      <c r="XY105" s="21"/>
      <c r="XZ105" s="21"/>
      <c r="YA105" s="21"/>
      <c r="YB105" s="21"/>
      <c r="YC105" s="21"/>
      <c r="YD105" s="21"/>
      <c r="YE105" s="21"/>
      <c r="YF105" s="21"/>
      <c r="YG105" s="21"/>
      <c r="YH105" s="21"/>
      <c r="YI105" s="21"/>
      <c r="YJ105" s="21"/>
      <c r="YK105" s="21"/>
      <c r="YL105" s="21"/>
      <c r="YM105" s="21"/>
      <c r="YN105" s="21"/>
      <c r="YO105" s="21"/>
      <c r="YP105" s="21"/>
      <c r="YQ105" s="21"/>
      <c r="YR105" s="21"/>
      <c r="YS105" s="21"/>
      <c r="YT105" s="21"/>
      <c r="YU105" s="21"/>
      <c r="YV105" s="21"/>
      <c r="YW105" s="21"/>
      <c r="YX105" s="21"/>
      <c r="YY105" s="21"/>
      <c r="YZ105" s="21"/>
      <c r="ZA105" s="21"/>
      <c r="ZB105" s="21"/>
      <c r="ZC105" s="21"/>
      <c r="ZD105" s="21"/>
      <c r="ZE105" s="21"/>
      <c r="ZF105" s="21"/>
      <c r="ZG105" s="21"/>
      <c r="ZH105" s="21"/>
      <c r="ZI105" s="21"/>
      <c r="ZJ105" s="21"/>
      <c r="ZK105" s="21"/>
      <c r="ZL105" s="21"/>
      <c r="ZM105" s="21"/>
      <c r="ZN105" s="21"/>
      <c r="ZO105" s="21"/>
      <c r="ZP105" s="21"/>
      <c r="ZQ105" s="21"/>
      <c r="ZR105" s="21"/>
      <c r="ZS105" s="21"/>
      <c r="ZT105" s="21"/>
      <c r="ZU105" s="21"/>
      <c r="ZV105" s="21"/>
      <c r="ZW105" s="21"/>
      <c r="ZX105" s="21"/>
      <c r="ZY105" s="21"/>
      <c r="ZZ105" s="21"/>
      <c r="AAA105" s="21"/>
      <c r="AAB105" s="21"/>
      <c r="AAC105" s="21"/>
      <c r="AAD105" s="21"/>
      <c r="AAE105" s="21"/>
      <c r="AAF105" s="21"/>
      <c r="AAG105" s="21"/>
      <c r="AAH105" s="21"/>
      <c r="AAI105" s="21"/>
      <c r="AAJ105" s="21"/>
      <c r="AAK105" s="21"/>
      <c r="AAL105" s="21"/>
      <c r="AAM105" s="21"/>
      <c r="AAN105" s="21"/>
      <c r="AAO105" s="21"/>
      <c r="AAP105" s="21"/>
      <c r="AAQ105" s="21"/>
      <c r="AAR105" s="21"/>
      <c r="AAS105" s="21"/>
      <c r="AAT105" s="21"/>
      <c r="AAU105" s="21"/>
      <c r="AAV105" s="21"/>
      <c r="AAW105" s="21"/>
      <c r="AAX105" s="21"/>
      <c r="AAY105" s="21"/>
      <c r="AAZ105" s="21"/>
      <c r="ABA105" s="21"/>
      <c r="ABB105" s="21"/>
      <c r="ABC105" s="21"/>
      <c r="ABD105" s="21"/>
      <c r="ABE105" s="21"/>
      <c r="ABF105" s="21"/>
      <c r="ABG105" s="21"/>
      <c r="ABH105" s="21"/>
      <c r="ABI105" s="21"/>
      <c r="ABJ105" s="21"/>
      <c r="ABK105" s="21"/>
      <c r="ABL105" s="21"/>
      <c r="ABM105" s="21"/>
      <c r="ABN105" s="21"/>
      <c r="ABO105" s="21"/>
      <c r="ABP105" s="21"/>
      <c r="ABQ105" s="21"/>
      <c r="ABR105" s="21"/>
      <c r="ABS105" s="21"/>
      <c r="ABT105" s="21"/>
      <c r="ABU105" s="21"/>
      <c r="ABV105" s="21"/>
      <c r="ABW105" s="21"/>
      <c r="ABX105" s="21"/>
      <c r="ABY105" s="21"/>
      <c r="ABZ105" s="21"/>
      <c r="ACA105" s="21"/>
      <c r="ACB105" s="21"/>
      <c r="ACC105" s="21"/>
      <c r="ACD105" s="21"/>
      <c r="ACE105" s="21"/>
      <c r="ACF105" s="21"/>
      <c r="ACG105" s="21"/>
      <c r="ACH105" s="21"/>
      <c r="ACI105" s="21"/>
      <c r="ACJ105" s="21"/>
      <c r="ACK105" s="21"/>
      <c r="ACL105" s="21"/>
      <c r="ACM105" s="21"/>
      <c r="ACN105" s="21"/>
      <c r="ACO105" s="21"/>
      <c r="ACP105" s="21"/>
      <c r="ACQ105" s="21"/>
      <c r="ACR105" s="21"/>
      <c r="ACS105" s="21"/>
      <c r="ACT105" s="21"/>
      <c r="ACU105" s="21"/>
      <c r="ACV105" s="21"/>
      <c r="ACW105" s="21"/>
      <c r="ACX105" s="21"/>
      <c r="ACY105" s="21"/>
      <c r="ACZ105" s="21"/>
      <c r="ADA105" s="21"/>
      <c r="ADB105" s="21"/>
      <c r="ADC105" s="21"/>
      <c r="ADD105" s="21"/>
      <c r="ADE105" s="21"/>
      <c r="ADF105" s="21"/>
      <c r="ADG105" s="21"/>
      <c r="ADH105" s="21"/>
      <c r="ADI105" s="21"/>
      <c r="ADJ105" s="21"/>
      <c r="ADK105" s="21"/>
      <c r="ADL105" s="21"/>
      <c r="ADM105" s="21"/>
      <c r="ADN105" s="21"/>
      <c r="ADO105" s="21"/>
      <c r="ADP105" s="21"/>
      <c r="ADQ105" s="21"/>
      <c r="ADR105" s="21"/>
      <c r="ADS105" s="21"/>
      <c r="ADT105" s="21"/>
      <c r="ADU105" s="21"/>
      <c r="ADV105" s="21"/>
      <c r="ADW105" s="21"/>
      <c r="ADX105" s="21"/>
      <c r="ADY105" s="21"/>
      <c r="ADZ105" s="21"/>
      <c r="AEA105" s="21"/>
      <c r="AEB105" s="21"/>
      <c r="AEC105" s="21"/>
      <c r="AED105" s="21"/>
      <c r="AEE105" s="21"/>
      <c r="AEF105" s="21"/>
      <c r="AEG105" s="21"/>
    </row>
    <row r="106" spans="1:813" s="93" customFormat="1" ht="60" x14ac:dyDescent="0.25">
      <c r="A106" s="179">
        <v>41</v>
      </c>
      <c r="B106" s="185" t="s">
        <v>249</v>
      </c>
      <c r="C106" s="38" t="s">
        <v>248</v>
      </c>
      <c r="D106" s="63" t="s">
        <v>247</v>
      </c>
      <c r="E106" s="36" t="s">
        <v>246</v>
      </c>
      <c r="F106" s="170">
        <v>0</v>
      </c>
      <c r="G106" s="170">
        <v>0</v>
      </c>
      <c r="H106" s="170">
        <f t="shared" si="32"/>
        <v>0</v>
      </c>
      <c r="I106" s="170">
        <v>0</v>
      </c>
      <c r="J106" s="170">
        <f t="shared" si="22"/>
        <v>0</v>
      </c>
      <c r="K106" s="170">
        <v>0</v>
      </c>
      <c r="L106" s="170">
        <f t="shared" si="23"/>
        <v>0</v>
      </c>
      <c r="M106" s="170">
        <v>0</v>
      </c>
      <c r="N106" s="170">
        <f t="shared" si="33"/>
        <v>0</v>
      </c>
      <c r="O106" s="170">
        <v>0</v>
      </c>
      <c r="P106" s="170">
        <f t="shared" si="24"/>
        <v>0</v>
      </c>
      <c r="Q106" s="170">
        <v>0</v>
      </c>
      <c r="R106" s="170">
        <f t="shared" ref="R106:R113" si="36">ROUND($F106*Q106,-1)</f>
        <v>0</v>
      </c>
      <c r="S106" s="170">
        <v>0</v>
      </c>
      <c r="T106" s="170">
        <f t="shared" si="34"/>
        <v>0</v>
      </c>
      <c r="U106" s="170">
        <v>0</v>
      </c>
      <c r="V106" s="170">
        <f t="shared" si="26"/>
        <v>0</v>
      </c>
      <c r="W106" s="170">
        <v>0</v>
      </c>
      <c r="X106" s="170">
        <f t="shared" si="27"/>
        <v>0</v>
      </c>
      <c r="Y106" s="170">
        <v>0</v>
      </c>
      <c r="Z106" s="170">
        <f t="shared" si="28"/>
        <v>0</v>
      </c>
      <c r="AA106" s="170">
        <v>0</v>
      </c>
      <c r="AB106" s="170">
        <f t="shared" si="29"/>
        <v>0</v>
      </c>
      <c r="AC106" s="170">
        <v>0</v>
      </c>
      <c r="AD106" s="170">
        <f t="shared" si="30"/>
        <v>0</v>
      </c>
      <c r="AE106" s="170"/>
      <c r="AF106" s="170">
        <f t="shared" si="31"/>
        <v>0</v>
      </c>
      <c r="AG106" s="112">
        <v>5.6</v>
      </c>
      <c r="AH106" s="112">
        <f>2068/2</f>
        <v>1034</v>
      </c>
      <c r="AI106" s="32">
        <f t="shared" si="35"/>
        <v>5790</v>
      </c>
      <c r="AJ106" s="31">
        <v>446430.23081240669</v>
      </c>
      <c r="AK106" s="31">
        <v>36364.76239318728</v>
      </c>
      <c r="AL106" s="31">
        <v>482794.99320559396</v>
      </c>
      <c r="AM106" s="30" t="s">
        <v>18</v>
      </c>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c r="FG106" s="21"/>
      <c r="FH106" s="21"/>
      <c r="FI106" s="21"/>
      <c r="FJ106" s="21"/>
      <c r="FK106" s="21"/>
      <c r="FL106" s="21"/>
      <c r="FM106" s="21"/>
      <c r="FN106" s="21"/>
      <c r="FO106" s="21"/>
      <c r="FP106" s="21"/>
      <c r="FQ106" s="21"/>
      <c r="FR106" s="21"/>
      <c r="FS106" s="21"/>
      <c r="FT106" s="21"/>
      <c r="FU106" s="21"/>
      <c r="FV106" s="21"/>
      <c r="FW106" s="21"/>
      <c r="FX106" s="21"/>
      <c r="FY106" s="21"/>
      <c r="FZ106" s="21"/>
      <c r="GA106" s="21"/>
      <c r="GB106" s="21"/>
      <c r="GC106" s="21"/>
      <c r="GD106" s="21"/>
      <c r="GE106" s="21"/>
      <c r="GF106" s="21"/>
      <c r="GG106" s="21"/>
      <c r="GH106" s="21"/>
      <c r="GI106" s="21"/>
      <c r="GJ106" s="21"/>
      <c r="GK106" s="21"/>
      <c r="GL106" s="21"/>
      <c r="GM106" s="21"/>
      <c r="GN106" s="21"/>
      <c r="GO106" s="21"/>
      <c r="GP106" s="21"/>
      <c r="GQ106" s="21"/>
      <c r="GR106" s="21"/>
      <c r="GS106" s="21"/>
      <c r="GT106" s="21"/>
      <c r="GU106" s="21"/>
      <c r="GV106" s="21"/>
      <c r="GW106" s="21"/>
      <c r="GX106" s="21"/>
      <c r="GY106" s="21"/>
      <c r="GZ106" s="21"/>
      <c r="HA106" s="21"/>
      <c r="HB106" s="21"/>
      <c r="HC106" s="21"/>
      <c r="HD106" s="21"/>
      <c r="HE106" s="21"/>
      <c r="HF106" s="21"/>
      <c r="HG106" s="21"/>
      <c r="HH106" s="21"/>
      <c r="HI106" s="21"/>
      <c r="HJ106" s="21"/>
      <c r="HK106" s="21"/>
      <c r="HL106" s="21"/>
      <c r="HM106" s="21"/>
      <c r="HN106" s="21"/>
      <c r="HO106" s="21"/>
      <c r="HP106" s="21"/>
      <c r="HQ106" s="21"/>
      <c r="HR106" s="21"/>
      <c r="HS106" s="21"/>
      <c r="HT106" s="21"/>
      <c r="HU106" s="21"/>
      <c r="HV106" s="21"/>
      <c r="HW106" s="21"/>
      <c r="HX106" s="21"/>
      <c r="HY106" s="21"/>
      <c r="HZ106" s="21"/>
      <c r="IA106" s="21"/>
      <c r="IB106" s="21"/>
      <c r="IC106" s="21"/>
      <c r="ID106" s="21"/>
      <c r="IE106" s="21"/>
      <c r="IF106" s="21"/>
      <c r="IG106" s="21"/>
      <c r="IH106" s="21"/>
      <c r="II106" s="21"/>
      <c r="IJ106" s="21"/>
      <c r="IK106" s="21"/>
      <c r="IL106" s="21"/>
      <c r="IM106" s="21"/>
      <c r="IN106" s="21"/>
      <c r="IO106" s="21"/>
      <c r="IP106" s="21"/>
      <c r="IQ106" s="21"/>
      <c r="IR106" s="21"/>
      <c r="IS106" s="21"/>
      <c r="IT106" s="21"/>
      <c r="IU106" s="21"/>
      <c r="IV106" s="21"/>
      <c r="IW106" s="21"/>
      <c r="IX106" s="21"/>
      <c r="IY106" s="21"/>
      <c r="IZ106" s="21"/>
      <c r="JA106" s="21"/>
      <c r="JB106" s="21"/>
      <c r="JC106" s="21"/>
      <c r="JD106" s="21"/>
      <c r="JE106" s="21"/>
      <c r="JF106" s="21"/>
      <c r="JG106" s="21"/>
      <c r="JH106" s="21"/>
      <c r="JI106" s="21"/>
      <c r="JJ106" s="21"/>
      <c r="JK106" s="21"/>
      <c r="JL106" s="21"/>
      <c r="JM106" s="21"/>
      <c r="JN106" s="21"/>
      <c r="JO106" s="21"/>
      <c r="JP106" s="21"/>
      <c r="JQ106" s="21"/>
      <c r="JR106" s="21"/>
      <c r="JS106" s="21"/>
      <c r="JT106" s="21"/>
      <c r="JU106" s="21"/>
      <c r="JV106" s="21"/>
      <c r="JW106" s="21"/>
      <c r="JX106" s="21"/>
      <c r="JY106" s="21"/>
      <c r="JZ106" s="21"/>
      <c r="KA106" s="21"/>
      <c r="KB106" s="21"/>
      <c r="KC106" s="21"/>
      <c r="KD106" s="21"/>
      <c r="KE106" s="21"/>
      <c r="KF106" s="21"/>
      <c r="KG106" s="21"/>
      <c r="KH106" s="21"/>
      <c r="KI106" s="21"/>
      <c r="KJ106" s="21"/>
      <c r="KK106" s="21"/>
      <c r="KL106" s="21"/>
      <c r="KM106" s="21"/>
      <c r="KN106" s="21"/>
      <c r="KO106" s="21"/>
      <c r="KP106" s="21"/>
      <c r="KQ106" s="21"/>
      <c r="KR106" s="21"/>
      <c r="KS106" s="21"/>
      <c r="KT106" s="21"/>
      <c r="KU106" s="21"/>
      <c r="KV106" s="21"/>
      <c r="KW106" s="21"/>
      <c r="KX106" s="21"/>
      <c r="KY106" s="21"/>
      <c r="KZ106" s="21"/>
      <c r="LA106" s="21"/>
      <c r="LB106" s="21"/>
      <c r="LC106" s="21"/>
      <c r="LD106" s="21"/>
      <c r="LE106" s="21"/>
      <c r="LF106" s="21"/>
      <c r="LG106" s="21"/>
      <c r="LH106" s="21"/>
      <c r="LI106" s="21"/>
      <c r="LJ106" s="21"/>
      <c r="LK106" s="21"/>
      <c r="LL106" s="21"/>
      <c r="LM106" s="21"/>
      <c r="LN106" s="21"/>
      <c r="LO106" s="21"/>
      <c r="LP106" s="21"/>
      <c r="LQ106" s="21"/>
      <c r="LR106" s="21"/>
      <c r="LS106" s="21"/>
      <c r="LT106" s="21"/>
      <c r="LU106" s="21"/>
      <c r="LV106" s="21"/>
      <c r="LW106" s="21"/>
      <c r="LX106" s="21"/>
      <c r="LY106" s="21"/>
      <c r="LZ106" s="21"/>
      <c r="MA106" s="21"/>
      <c r="MB106" s="21"/>
      <c r="MC106" s="21"/>
      <c r="MD106" s="21"/>
      <c r="ME106" s="21"/>
      <c r="MF106" s="21"/>
      <c r="MG106" s="21"/>
      <c r="MH106" s="21"/>
      <c r="MI106" s="21"/>
      <c r="MJ106" s="21"/>
      <c r="MK106" s="21"/>
      <c r="ML106" s="21"/>
      <c r="MM106" s="21"/>
      <c r="MN106" s="21"/>
      <c r="MO106" s="21"/>
      <c r="MP106" s="21"/>
      <c r="MQ106" s="21"/>
      <c r="MR106" s="21"/>
      <c r="MS106" s="21"/>
      <c r="MT106" s="21"/>
      <c r="MU106" s="21"/>
      <c r="MV106" s="21"/>
      <c r="MW106" s="21"/>
      <c r="MX106" s="21"/>
      <c r="MY106" s="21"/>
      <c r="MZ106" s="21"/>
      <c r="NA106" s="21"/>
      <c r="NB106" s="21"/>
      <c r="NC106" s="21"/>
      <c r="ND106" s="21"/>
      <c r="NE106" s="21"/>
      <c r="NF106" s="21"/>
      <c r="NG106" s="21"/>
      <c r="NH106" s="21"/>
      <c r="NI106" s="21"/>
      <c r="NJ106" s="21"/>
      <c r="NK106" s="21"/>
      <c r="NL106" s="21"/>
      <c r="NM106" s="21"/>
      <c r="NN106" s="21"/>
      <c r="NO106" s="21"/>
      <c r="NP106" s="21"/>
      <c r="NQ106" s="21"/>
      <c r="NR106" s="21"/>
      <c r="NS106" s="21"/>
      <c r="NT106" s="21"/>
      <c r="NU106" s="21"/>
      <c r="NV106" s="21"/>
      <c r="NW106" s="21"/>
      <c r="NX106" s="21"/>
      <c r="NY106" s="21"/>
      <c r="NZ106" s="21"/>
      <c r="OA106" s="21"/>
      <c r="OB106" s="21"/>
      <c r="OC106" s="21"/>
      <c r="OD106" s="21"/>
      <c r="OE106" s="21"/>
      <c r="OF106" s="21"/>
      <c r="OG106" s="21"/>
      <c r="OH106" s="21"/>
      <c r="OI106" s="21"/>
      <c r="OJ106" s="21"/>
      <c r="OK106" s="21"/>
      <c r="OL106" s="21"/>
      <c r="OM106" s="21"/>
      <c r="ON106" s="21"/>
      <c r="OO106" s="21"/>
      <c r="OP106" s="21"/>
      <c r="OQ106" s="21"/>
      <c r="OR106" s="21"/>
      <c r="OS106" s="21"/>
      <c r="OT106" s="21"/>
      <c r="OU106" s="21"/>
      <c r="OV106" s="21"/>
      <c r="OW106" s="21"/>
      <c r="OX106" s="21"/>
      <c r="OY106" s="21"/>
      <c r="OZ106" s="21"/>
      <c r="PA106" s="21"/>
      <c r="PB106" s="21"/>
      <c r="PC106" s="21"/>
      <c r="PD106" s="21"/>
      <c r="PE106" s="21"/>
      <c r="PF106" s="21"/>
      <c r="PG106" s="21"/>
      <c r="PH106" s="21"/>
      <c r="PI106" s="21"/>
      <c r="PJ106" s="21"/>
      <c r="PK106" s="21"/>
      <c r="PL106" s="21"/>
      <c r="PM106" s="21"/>
      <c r="PN106" s="21"/>
      <c r="PO106" s="21"/>
      <c r="PP106" s="21"/>
      <c r="PQ106" s="21"/>
      <c r="PR106" s="21"/>
      <c r="PS106" s="21"/>
      <c r="PT106" s="21"/>
      <c r="PU106" s="21"/>
      <c r="PV106" s="21"/>
      <c r="PW106" s="21"/>
      <c r="PX106" s="21"/>
      <c r="PY106" s="21"/>
      <c r="PZ106" s="21"/>
      <c r="QA106" s="21"/>
      <c r="QB106" s="21"/>
      <c r="QC106" s="21"/>
      <c r="QD106" s="21"/>
      <c r="QE106" s="21"/>
      <c r="QF106" s="21"/>
      <c r="QG106" s="21"/>
      <c r="QH106" s="21"/>
      <c r="QI106" s="21"/>
      <c r="QJ106" s="21"/>
      <c r="QK106" s="21"/>
      <c r="QL106" s="21"/>
      <c r="QM106" s="21"/>
      <c r="QN106" s="21"/>
      <c r="QO106" s="21"/>
      <c r="QP106" s="21"/>
      <c r="QQ106" s="21"/>
      <c r="QR106" s="21"/>
      <c r="QS106" s="21"/>
      <c r="QT106" s="21"/>
      <c r="QU106" s="21"/>
      <c r="QV106" s="21"/>
      <c r="QW106" s="21"/>
      <c r="QX106" s="21"/>
      <c r="QY106" s="21"/>
      <c r="QZ106" s="21"/>
      <c r="RA106" s="21"/>
      <c r="RB106" s="21"/>
      <c r="RC106" s="21"/>
      <c r="RD106" s="21"/>
      <c r="RE106" s="21"/>
      <c r="RF106" s="21"/>
      <c r="RG106" s="21"/>
      <c r="RH106" s="21"/>
      <c r="RI106" s="21"/>
      <c r="RJ106" s="21"/>
      <c r="RK106" s="21"/>
      <c r="RL106" s="21"/>
      <c r="RM106" s="21"/>
      <c r="RN106" s="21"/>
      <c r="RO106" s="21"/>
      <c r="RP106" s="21"/>
      <c r="RQ106" s="21"/>
      <c r="RR106" s="21"/>
      <c r="RS106" s="21"/>
      <c r="RT106" s="21"/>
      <c r="RU106" s="21"/>
      <c r="RV106" s="21"/>
      <c r="RW106" s="21"/>
      <c r="RX106" s="21"/>
      <c r="RY106" s="21"/>
      <c r="RZ106" s="21"/>
      <c r="SA106" s="21"/>
      <c r="SB106" s="21"/>
      <c r="SC106" s="21"/>
      <c r="SD106" s="21"/>
      <c r="SE106" s="21"/>
      <c r="SF106" s="21"/>
      <c r="SG106" s="21"/>
      <c r="SH106" s="21"/>
      <c r="SI106" s="21"/>
      <c r="SJ106" s="21"/>
      <c r="SK106" s="21"/>
      <c r="SL106" s="21"/>
      <c r="SM106" s="21"/>
      <c r="SN106" s="21"/>
      <c r="SO106" s="21"/>
      <c r="SP106" s="21"/>
      <c r="SQ106" s="21"/>
      <c r="SR106" s="21"/>
      <c r="SS106" s="21"/>
      <c r="ST106" s="21"/>
      <c r="SU106" s="21"/>
      <c r="SV106" s="21"/>
      <c r="SW106" s="21"/>
      <c r="SX106" s="21"/>
      <c r="SY106" s="21"/>
      <c r="SZ106" s="21"/>
      <c r="TA106" s="21"/>
      <c r="TB106" s="21"/>
      <c r="TC106" s="21"/>
      <c r="TD106" s="21"/>
      <c r="TE106" s="21"/>
      <c r="TF106" s="21"/>
      <c r="TG106" s="21"/>
      <c r="TH106" s="21"/>
      <c r="TI106" s="21"/>
      <c r="TJ106" s="21"/>
      <c r="TK106" s="21"/>
      <c r="TL106" s="21"/>
      <c r="TM106" s="21"/>
      <c r="TN106" s="21"/>
      <c r="TO106" s="21"/>
      <c r="TP106" s="21"/>
      <c r="TQ106" s="21"/>
      <c r="TR106" s="21"/>
      <c r="TS106" s="21"/>
      <c r="TT106" s="21"/>
      <c r="TU106" s="21"/>
      <c r="TV106" s="21"/>
      <c r="TW106" s="21"/>
      <c r="TX106" s="21"/>
      <c r="TY106" s="21"/>
      <c r="TZ106" s="21"/>
      <c r="UA106" s="21"/>
      <c r="UB106" s="21"/>
      <c r="UC106" s="21"/>
      <c r="UD106" s="21"/>
      <c r="UE106" s="21"/>
      <c r="UF106" s="21"/>
      <c r="UG106" s="21"/>
      <c r="UH106" s="21"/>
      <c r="UI106" s="21"/>
      <c r="UJ106" s="21"/>
      <c r="UK106" s="21"/>
      <c r="UL106" s="21"/>
      <c r="UM106" s="21"/>
      <c r="UN106" s="21"/>
      <c r="UO106" s="21"/>
      <c r="UP106" s="21"/>
      <c r="UQ106" s="21"/>
      <c r="UR106" s="21"/>
      <c r="US106" s="21"/>
      <c r="UT106" s="21"/>
      <c r="UU106" s="21"/>
      <c r="UV106" s="21"/>
      <c r="UW106" s="21"/>
      <c r="UX106" s="21"/>
      <c r="UY106" s="21"/>
      <c r="UZ106" s="21"/>
      <c r="VA106" s="21"/>
      <c r="VB106" s="21"/>
      <c r="VC106" s="21"/>
      <c r="VD106" s="21"/>
      <c r="VE106" s="21"/>
      <c r="VF106" s="21"/>
      <c r="VG106" s="21"/>
      <c r="VH106" s="21"/>
      <c r="VI106" s="21"/>
      <c r="VJ106" s="21"/>
      <c r="VK106" s="21"/>
      <c r="VL106" s="21"/>
      <c r="VM106" s="21"/>
      <c r="VN106" s="21"/>
      <c r="VO106" s="21"/>
      <c r="VP106" s="21"/>
      <c r="VQ106" s="21"/>
      <c r="VR106" s="21"/>
      <c r="VS106" s="21"/>
      <c r="VT106" s="21"/>
      <c r="VU106" s="21"/>
      <c r="VV106" s="21"/>
      <c r="VW106" s="21"/>
      <c r="VX106" s="21"/>
      <c r="VY106" s="21"/>
      <c r="VZ106" s="21"/>
      <c r="WA106" s="21"/>
      <c r="WB106" s="21"/>
      <c r="WC106" s="21"/>
      <c r="WD106" s="21"/>
      <c r="WE106" s="21"/>
      <c r="WF106" s="21"/>
      <c r="WG106" s="21"/>
      <c r="WH106" s="21"/>
      <c r="WI106" s="21"/>
      <c r="WJ106" s="21"/>
      <c r="WK106" s="21"/>
      <c r="WL106" s="21"/>
      <c r="WM106" s="21"/>
      <c r="WN106" s="21"/>
      <c r="WO106" s="21"/>
      <c r="WP106" s="21"/>
      <c r="WQ106" s="21"/>
      <c r="WR106" s="21"/>
      <c r="WS106" s="21"/>
      <c r="WT106" s="21"/>
      <c r="WU106" s="21"/>
      <c r="WV106" s="21"/>
      <c r="WW106" s="21"/>
      <c r="WX106" s="21"/>
      <c r="WY106" s="21"/>
      <c r="WZ106" s="21"/>
      <c r="XA106" s="21"/>
      <c r="XB106" s="21"/>
      <c r="XC106" s="21"/>
      <c r="XD106" s="21"/>
      <c r="XE106" s="21"/>
      <c r="XF106" s="21"/>
      <c r="XG106" s="21"/>
      <c r="XH106" s="21"/>
      <c r="XI106" s="21"/>
      <c r="XJ106" s="21"/>
      <c r="XK106" s="21"/>
      <c r="XL106" s="21"/>
      <c r="XM106" s="21"/>
      <c r="XN106" s="21"/>
      <c r="XO106" s="21"/>
      <c r="XP106" s="21"/>
      <c r="XQ106" s="21"/>
      <c r="XR106" s="21"/>
      <c r="XS106" s="21"/>
      <c r="XT106" s="21"/>
      <c r="XU106" s="21"/>
      <c r="XV106" s="21"/>
      <c r="XW106" s="21"/>
      <c r="XX106" s="21"/>
      <c r="XY106" s="21"/>
      <c r="XZ106" s="21"/>
      <c r="YA106" s="21"/>
      <c r="YB106" s="21"/>
      <c r="YC106" s="21"/>
      <c r="YD106" s="21"/>
      <c r="YE106" s="21"/>
      <c r="YF106" s="21"/>
      <c r="YG106" s="21"/>
      <c r="YH106" s="21"/>
      <c r="YI106" s="21"/>
      <c r="YJ106" s="21"/>
      <c r="YK106" s="21"/>
      <c r="YL106" s="21"/>
      <c r="YM106" s="21"/>
      <c r="YN106" s="21"/>
      <c r="YO106" s="21"/>
      <c r="YP106" s="21"/>
      <c r="YQ106" s="21"/>
      <c r="YR106" s="21"/>
      <c r="YS106" s="21"/>
      <c r="YT106" s="21"/>
      <c r="YU106" s="21"/>
      <c r="YV106" s="21"/>
      <c r="YW106" s="21"/>
      <c r="YX106" s="21"/>
      <c r="YY106" s="21"/>
      <c r="YZ106" s="21"/>
      <c r="ZA106" s="21"/>
      <c r="ZB106" s="21"/>
      <c r="ZC106" s="21"/>
      <c r="ZD106" s="21"/>
      <c r="ZE106" s="21"/>
      <c r="ZF106" s="21"/>
      <c r="ZG106" s="21"/>
      <c r="ZH106" s="21"/>
      <c r="ZI106" s="21"/>
      <c r="ZJ106" s="21"/>
      <c r="ZK106" s="21"/>
      <c r="ZL106" s="21"/>
      <c r="ZM106" s="21"/>
      <c r="ZN106" s="21"/>
      <c r="ZO106" s="21"/>
      <c r="ZP106" s="21"/>
      <c r="ZQ106" s="21"/>
      <c r="ZR106" s="21"/>
      <c r="ZS106" s="21"/>
      <c r="ZT106" s="21"/>
      <c r="ZU106" s="21"/>
      <c r="ZV106" s="21"/>
      <c r="ZW106" s="21"/>
      <c r="ZX106" s="21"/>
      <c r="ZY106" s="21"/>
      <c r="ZZ106" s="21"/>
      <c r="AAA106" s="21"/>
      <c r="AAB106" s="21"/>
      <c r="AAC106" s="21"/>
      <c r="AAD106" s="21"/>
      <c r="AAE106" s="21"/>
      <c r="AAF106" s="21"/>
      <c r="AAG106" s="21"/>
      <c r="AAH106" s="21"/>
      <c r="AAI106" s="21"/>
      <c r="AAJ106" s="21"/>
      <c r="AAK106" s="21"/>
      <c r="AAL106" s="21"/>
      <c r="AAM106" s="21"/>
      <c r="AAN106" s="21"/>
      <c r="AAO106" s="21"/>
      <c r="AAP106" s="21"/>
      <c r="AAQ106" s="21"/>
      <c r="AAR106" s="21"/>
      <c r="AAS106" s="21"/>
      <c r="AAT106" s="21"/>
      <c r="AAU106" s="21"/>
      <c r="AAV106" s="21"/>
      <c r="AAW106" s="21"/>
      <c r="AAX106" s="21"/>
      <c r="AAY106" s="21"/>
      <c r="AAZ106" s="21"/>
      <c r="ABA106" s="21"/>
      <c r="ABB106" s="21"/>
      <c r="ABC106" s="21"/>
      <c r="ABD106" s="21"/>
      <c r="ABE106" s="21"/>
      <c r="ABF106" s="21"/>
      <c r="ABG106" s="21"/>
      <c r="ABH106" s="21"/>
      <c r="ABI106" s="21"/>
      <c r="ABJ106" s="21"/>
      <c r="ABK106" s="21"/>
      <c r="ABL106" s="21"/>
      <c r="ABM106" s="21"/>
      <c r="ABN106" s="21"/>
      <c r="ABO106" s="21"/>
      <c r="ABP106" s="21"/>
      <c r="ABQ106" s="21"/>
      <c r="ABR106" s="21"/>
      <c r="ABS106" s="21"/>
      <c r="ABT106" s="21"/>
      <c r="ABU106" s="21"/>
      <c r="ABV106" s="21"/>
      <c r="ABW106" s="21"/>
      <c r="ABX106" s="21"/>
      <c r="ABY106" s="21"/>
      <c r="ABZ106" s="21"/>
      <c r="ACA106" s="21"/>
      <c r="ACB106" s="21"/>
      <c r="ACC106" s="21"/>
      <c r="ACD106" s="21"/>
      <c r="ACE106" s="21"/>
      <c r="ACF106" s="21"/>
      <c r="ACG106" s="21"/>
      <c r="ACH106" s="21"/>
      <c r="ACI106" s="21"/>
      <c r="ACJ106" s="21"/>
      <c r="ACK106" s="21"/>
      <c r="ACL106" s="21"/>
      <c r="ACM106" s="21"/>
      <c r="ACN106" s="21"/>
      <c r="ACO106" s="21"/>
      <c r="ACP106" s="21"/>
      <c r="ACQ106" s="21"/>
      <c r="ACR106" s="21"/>
      <c r="ACS106" s="21"/>
      <c r="ACT106" s="21"/>
      <c r="ACU106" s="21"/>
      <c r="ACV106" s="21"/>
      <c r="ACW106" s="21"/>
      <c r="ACX106" s="21"/>
      <c r="ACY106" s="21"/>
      <c r="ACZ106" s="21"/>
      <c r="ADA106" s="21"/>
      <c r="ADB106" s="21"/>
      <c r="ADC106" s="21"/>
      <c r="ADD106" s="21"/>
      <c r="ADE106" s="21"/>
      <c r="ADF106" s="21"/>
      <c r="ADG106" s="21"/>
      <c r="ADH106" s="21"/>
      <c r="ADI106" s="21"/>
      <c r="ADJ106" s="21"/>
      <c r="ADK106" s="21"/>
      <c r="ADL106" s="21"/>
      <c r="ADM106" s="21"/>
      <c r="ADN106" s="21"/>
      <c r="ADO106" s="21"/>
      <c r="ADP106" s="21"/>
      <c r="ADQ106" s="21"/>
      <c r="ADR106" s="21"/>
      <c r="ADS106" s="21"/>
      <c r="ADT106" s="21"/>
      <c r="ADU106" s="21"/>
      <c r="ADV106" s="21"/>
      <c r="ADW106" s="21"/>
      <c r="ADX106" s="21"/>
      <c r="ADY106" s="21"/>
      <c r="ADZ106" s="21"/>
      <c r="AEA106" s="21"/>
      <c r="AEB106" s="21"/>
      <c r="AEC106" s="21"/>
      <c r="AED106" s="21"/>
      <c r="AEE106" s="21"/>
      <c r="AEF106" s="21"/>
      <c r="AEG106" s="21"/>
    </row>
    <row r="107" spans="1:813" s="93" customFormat="1" ht="60" x14ac:dyDescent="0.25">
      <c r="A107" s="179"/>
      <c r="B107" s="185"/>
      <c r="C107" s="38" t="s">
        <v>245</v>
      </c>
      <c r="D107" s="63" t="s">
        <v>244</v>
      </c>
      <c r="E107" s="36" t="s">
        <v>243</v>
      </c>
      <c r="F107" s="171"/>
      <c r="G107" s="171"/>
      <c r="H107" s="171">
        <f t="shared" si="32"/>
        <v>0</v>
      </c>
      <c r="I107" s="171"/>
      <c r="J107" s="171">
        <f t="shared" si="22"/>
        <v>0</v>
      </c>
      <c r="K107" s="171"/>
      <c r="L107" s="171">
        <f t="shared" si="23"/>
        <v>0</v>
      </c>
      <c r="M107" s="171"/>
      <c r="N107" s="171">
        <f t="shared" si="33"/>
        <v>0</v>
      </c>
      <c r="O107" s="171"/>
      <c r="P107" s="171">
        <f t="shared" si="24"/>
        <v>0</v>
      </c>
      <c r="Q107" s="171"/>
      <c r="R107" s="171">
        <f t="shared" si="36"/>
        <v>0</v>
      </c>
      <c r="S107" s="171"/>
      <c r="T107" s="171">
        <f t="shared" si="34"/>
        <v>0</v>
      </c>
      <c r="U107" s="171"/>
      <c r="V107" s="171">
        <f t="shared" si="26"/>
        <v>0</v>
      </c>
      <c r="W107" s="171"/>
      <c r="X107" s="171">
        <f t="shared" si="27"/>
        <v>0</v>
      </c>
      <c r="Y107" s="171"/>
      <c r="Z107" s="171">
        <f t="shared" si="28"/>
        <v>0</v>
      </c>
      <c r="AA107" s="171"/>
      <c r="AB107" s="171">
        <f t="shared" si="29"/>
        <v>0</v>
      </c>
      <c r="AC107" s="171"/>
      <c r="AD107" s="171">
        <f t="shared" si="30"/>
        <v>0</v>
      </c>
      <c r="AE107" s="171"/>
      <c r="AF107" s="171">
        <f t="shared" si="31"/>
        <v>0</v>
      </c>
      <c r="AG107" s="112">
        <v>7.8</v>
      </c>
      <c r="AH107" s="112">
        <f>177/2</f>
        <v>88.5</v>
      </c>
      <c r="AI107" s="32">
        <f t="shared" si="35"/>
        <v>690</v>
      </c>
      <c r="AJ107" s="31">
        <v>53201.530096815302</v>
      </c>
      <c r="AK107" s="31">
        <v>4333.6245339031475</v>
      </c>
      <c r="AL107" s="31">
        <v>57535.154630718447</v>
      </c>
      <c r="AM107" s="30" t="s">
        <v>18</v>
      </c>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c r="FT107" s="21"/>
      <c r="FU107" s="21"/>
      <c r="FV107" s="21"/>
      <c r="FW107" s="21"/>
      <c r="FX107" s="21"/>
      <c r="FY107" s="21"/>
      <c r="FZ107" s="21"/>
      <c r="GA107" s="21"/>
      <c r="GB107" s="21"/>
      <c r="GC107" s="21"/>
      <c r="GD107" s="21"/>
      <c r="GE107" s="21"/>
      <c r="GF107" s="21"/>
      <c r="GG107" s="21"/>
      <c r="GH107" s="21"/>
      <c r="GI107" s="21"/>
      <c r="GJ107" s="21"/>
      <c r="GK107" s="21"/>
      <c r="GL107" s="21"/>
      <c r="GM107" s="21"/>
      <c r="GN107" s="21"/>
      <c r="GO107" s="21"/>
      <c r="GP107" s="21"/>
      <c r="GQ107" s="21"/>
      <c r="GR107" s="21"/>
      <c r="GS107" s="21"/>
      <c r="GT107" s="21"/>
      <c r="GU107" s="21"/>
      <c r="GV107" s="21"/>
      <c r="GW107" s="21"/>
      <c r="GX107" s="21"/>
      <c r="GY107" s="21"/>
      <c r="GZ107" s="21"/>
      <c r="HA107" s="21"/>
      <c r="HB107" s="21"/>
      <c r="HC107" s="21"/>
      <c r="HD107" s="21"/>
      <c r="HE107" s="21"/>
      <c r="HF107" s="21"/>
      <c r="HG107" s="21"/>
      <c r="HH107" s="21"/>
      <c r="HI107" s="21"/>
      <c r="HJ107" s="21"/>
      <c r="HK107" s="21"/>
      <c r="HL107" s="21"/>
      <c r="HM107" s="21"/>
      <c r="HN107" s="21"/>
      <c r="HO107" s="21"/>
      <c r="HP107" s="21"/>
      <c r="HQ107" s="21"/>
      <c r="HR107" s="21"/>
      <c r="HS107" s="21"/>
      <c r="HT107" s="21"/>
      <c r="HU107" s="21"/>
      <c r="HV107" s="21"/>
      <c r="HW107" s="21"/>
      <c r="HX107" s="21"/>
      <c r="HY107" s="21"/>
      <c r="HZ107" s="21"/>
      <c r="IA107" s="21"/>
      <c r="IB107" s="21"/>
      <c r="IC107" s="21"/>
      <c r="ID107" s="21"/>
      <c r="IE107" s="21"/>
      <c r="IF107" s="21"/>
      <c r="IG107" s="21"/>
      <c r="IH107" s="21"/>
      <c r="II107" s="21"/>
      <c r="IJ107" s="21"/>
      <c r="IK107" s="21"/>
      <c r="IL107" s="21"/>
      <c r="IM107" s="21"/>
      <c r="IN107" s="21"/>
      <c r="IO107" s="21"/>
      <c r="IP107" s="21"/>
      <c r="IQ107" s="21"/>
      <c r="IR107" s="21"/>
      <c r="IS107" s="21"/>
      <c r="IT107" s="21"/>
      <c r="IU107" s="21"/>
      <c r="IV107" s="21"/>
      <c r="IW107" s="21"/>
      <c r="IX107" s="21"/>
      <c r="IY107" s="21"/>
      <c r="IZ107" s="21"/>
      <c r="JA107" s="21"/>
      <c r="JB107" s="21"/>
      <c r="JC107" s="21"/>
      <c r="JD107" s="21"/>
      <c r="JE107" s="21"/>
      <c r="JF107" s="21"/>
      <c r="JG107" s="21"/>
      <c r="JH107" s="21"/>
      <c r="JI107" s="21"/>
      <c r="JJ107" s="21"/>
      <c r="JK107" s="21"/>
      <c r="JL107" s="21"/>
      <c r="JM107" s="21"/>
      <c r="JN107" s="21"/>
      <c r="JO107" s="21"/>
      <c r="JP107" s="21"/>
      <c r="JQ107" s="21"/>
      <c r="JR107" s="21"/>
      <c r="JS107" s="21"/>
      <c r="JT107" s="21"/>
      <c r="JU107" s="21"/>
      <c r="JV107" s="21"/>
      <c r="JW107" s="21"/>
      <c r="JX107" s="21"/>
      <c r="JY107" s="21"/>
      <c r="JZ107" s="21"/>
      <c r="KA107" s="21"/>
      <c r="KB107" s="21"/>
      <c r="KC107" s="21"/>
      <c r="KD107" s="21"/>
      <c r="KE107" s="21"/>
      <c r="KF107" s="21"/>
      <c r="KG107" s="21"/>
      <c r="KH107" s="21"/>
      <c r="KI107" s="21"/>
      <c r="KJ107" s="21"/>
      <c r="KK107" s="21"/>
      <c r="KL107" s="21"/>
      <c r="KM107" s="21"/>
      <c r="KN107" s="21"/>
      <c r="KO107" s="21"/>
      <c r="KP107" s="21"/>
      <c r="KQ107" s="21"/>
      <c r="KR107" s="21"/>
      <c r="KS107" s="21"/>
      <c r="KT107" s="21"/>
      <c r="KU107" s="21"/>
      <c r="KV107" s="21"/>
      <c r="KW107" s="21"/>
      <c r="KX107" s="21"/>
      <c r="KY107" s="21"/>
      <c r="KZ107" s="21"/>
      <c r="LA107" s="21"/>
      <c r="LB107" s="21"/>
      <c r="LC107" s="21"/>
      <c r="LD107" s="21"/>
      <c r="LE107" s="21"/>
      <c r="LF107" s="21"/>
      <c r="LG107" s="21"/>
      <c r="LH107" s="21"/>
      <c r="LI107" s="21"/>
      <c r="LJ107" s="21"/>
      <c r="LK107" s="21"/>
      <c r="LL107" s="21"/>
      <c r="LM107" s="21"/>
      <c r="LN107" s="21"/>
      <c r="LO107" s="21"/>
      <c r="LP107" s="21"/>
      <c r="LQ107" s="21"/>
      <c r="LR107" s="21"/>
      <c r="LS107" s="21"/>
      <c r="LT107" s="21"/>
      <c r="LU107" s="21"/>
      <c r="LV107" s="21"/>
      <c r="LW107" s="21"/>
      <c r="LX107" s="21"/>
      <c r="LY107" s="21"/>
      <c r="LZ107" s="21"/>
      <c r="MA107" s="21"/>
      <c r="MB107" s="21"/>
      <c r="MC107" s="21"/>
      <c r="MD107" s="21"/>
      <c r="ME107" s="21"/>
      <c r="MF107" s="21"/>
      <c r="MG107" s="21"/>
      <c r="MH107" s="21"/>
      <c r="MI107" s="21"/>
      <c r="MJ107" s="21"/>
      <c r="MK107" s="21"/>
      <c r="ML107" s="21"/>
      <c r="MM107" s="21"/>
      <c r="MN107" s="21"/>
      <c r="MO107" s="21"/>
      <c r="MP107" s="21"/>
      <c r="MQ107" s="21"/>
      <c r="MR107" s="21"/>
      <c r="MS107" s="21"/>
      <c r="MT107" s="21"/>
      <c r="MU107" s="21"/>
      <c r="MV107" s="21"/>
      <c r="MW107" s="21"/>
      <c r="MX107" s="21"/>
      <c r="MY107" s="21"/>
      <c r="MZ107" s="21"/>
      <c r="NA107" s="21"/>
      <c r="NB107" s="21"/>
      <c r="NC107" s="21"/>
      <c r="ND107" s="21"/>
      <c r="NE107" s="21"/>
      <c r="NF107" s="21"/>
      <c r="NG107" s="21"/>
      <c r="NH107" s="21"/>
      <c r="NI107" s="21"/>
      <c r="NJ107" s="21"/>
      <c r="NK107" s="21"/>
      <c r="NL107" s="21"/>
      <c r="NM107" s="21"/>
      <c r="NN107" s="21"/>
      <c r="NO107" s="21"/>
      <c r="NP107" s="21"/>
      <c r="NQ107" s="21"/>
      <c r="NR107" s="21"/>
      <c r="NS107" s="21"/>
      <c r="NT107" s="21"/>
      <c r="NU107" s="21"/>
      <c r="NV107" s="21"/>
      <c r="NW107" s="21"/>
      <c r="NX107" s="21"/>
      <c r="NY107" s="21"/>
      <c r="NZ107" s="21"/>
      <c r="OA107" s="21"/>
      <c r="OB107" s="21"/>
      <c r="OC107" s="21"/>
      <c r="OD107" s="21"/>
      <c r="OE107" s="21"/>
      <c r="OF107" s="21"/>
      <c r="OG107" s="21"/>
      <c r="OH107" s="21"/>
      <c r="OI107" s="21"/>
      <c r="OJ107" s="21"/>
      <c r="OK107" s="21"/>
      <c r="OL107" s="21"/>
      <c r="OM107" s="21"/>
      <c r="ON107" s="21"/>
      <c r="OO107" s="21"/>
      <c r="OP107" s="21"/>
      <c r="OQ107" s="21"/>
      <c r="OR107" s="21"/>
      <c r="OS107" s="21"/>
      <c r="OT107" s="21"/>
      <c r="OU107" s="21"/>
      <c r="OV107" s="21"/>
      <c r="OW107" s="21"/>
      <c r="OX107" s="21"/>
      <c r="OY107" s="21"/>
      <c r="OZ107" s="21"/>
      <c r="PA107" s="21"/>
      <c r="PB107" s="21"/>
      <c r="PC107" s="21"/>
      <c r="PD107" s="21"/>
      <c r="PE107" s="21"/>
      <c r="PF107" s="21"/>
      <c r="PG107" s="21"/>
      <c r="PH107" s="21"/>
      <c r="PI107" s="21"/>
      <c r="PJ107" s="21"/>
      <c r="PK107" s="21"/>
      <c r="PL107" s="21"/>
      <c r="PM107" s="21"/>
      <c r="PN107" s="21"/>
      <c r="PO107" s="21"/>
      <c r="PP107" s="21"/>
      <c r="PQ107" s="21"/>
      <c r="PR107" s="21"/>
      <c r="PS107" s="21"/>
      <c r="PT107" s="21"/>
      <c r="PU107" s="21"/>
      <c r="PV107" s="21"/>
      <c r="PW107" s="21"/>
      <c r="PX107" s="21"/>
      <c r="PY107" s="21"/>
      <c r="PZ107" s="21"/>
      <c r="QA107" s="21"/>
      <c r="QB107" s="21"/>
      <c r="QC107" s="21"/>
      <c r="QD107" s="21"/>
      <c r="QE107" s="21"/>
      <c r="QF107" s="21"/>
      <c r="QG107" s="21"/>
      <c r="QH107" s="21"/>
      <c r="QI107" s="21"/>
      <c r="QJ107" s="21"/>
      <c r="QK107" s="21"/>
      <c r="QL107" s="21"/>
      <c r="QM107" s="21"/>
      <c r="QN107" s="21"/>
      <c r="QO107" s="21"/>
      <c r="QP107" s="21"/>
      <c r="QQ107" s="21"/>
      <c r="QR107" s="21"/>
      <c r="QS107" s="21"/>
      <c r="QT107" s="21"/>
      <c r="QU107" s="21"/>
      <c r="QV107" s="21"/>
      <c r="QW107" s="21"/>
      <c r="QX107" s="21"/>
      <c r="QY107" s="21"/>
      <c r="QZ107" s="21"/>
      <c r="RA107" s="21"/>
      <c r="RB107" s="21"/>
      <c r="RC107" s="21"/>
      <c r="RD107" s="21"/>
      <c r="RE107" s="21"/>
      <c r="RF107" s="21"/>
      <c r="RG107" s="21"/>
      <c r="RH107" s="21"/>
      <c r="RI107" s="21"/>
      <c r="RJ107" s="21"/>
      <c r="RK107" s="21"/>
      <c r="RL107" s="21"/>
      <c r="RM107" s="21"/>
      <c r="RN107" s="21"/>
      <c r="RO107" s="21"/>
      <c r="RP107" s="21"/>
      <c r="RQ107" s="21"/>
      <c r="RR107" s="21"/>
      <c r="RS107" s="21"/>
      <c r="RT107" s="21"/>
      <c r="RU107" s="21"/>
      <c r="RV107" s="21"/>
      <c r="RW107" s="21"/>
      <c r="RX107" s="21"/>
      <c r="RY107" s="21"/>
      <c r="RZ107" s="21"/>
      <c r="SA107" s="21"/>
      <c r="SB107" s="21"/>
      <c r="SC107" s="21"/>
      <c r="SD107" s="21"/>
      <c r="SE107" s="21"/>
      <c r="SF107" s="21"/>
      <c r="SG107" s="21"/>
      <c r="SH107" s="21"/>
      <c r="SI107" s="21"/>
      <c r="SJ107" s="21"/>
      <c r="SK107" s="21"/>
      <c r="SL107" s="21"/>
      <c r="SM107" s="21"/>
      <c r="SN107" s="21"/>
      <c r="SO107" s="21"/>
      <c r="SP107" s="21"/>
      <c r="SQ107" s="21"/>
      <c r="SR107" s="21"/>
      <c r="SS107" s="21"/>
      <c r="ST107" s="21"/>
      <c r="SU107" s="21"/>
      <c r="SV107" s="21"/>
      <c r="SW107" s="21"/>
      <c r="SX107" s="21"/>
      <c r="SY107" s="21"/>
      <c r="SZ107" s="21"/>
      <c r="TA107" s="21"/>
      <c r="TB107" s="21"/>
      <c r="TC107" s="21"/>
      <c r="TD107" s="21"/>
      <c r="TE107" s="21"/>
      <c r="TF107" s="21"/>
      <c r="TG107" s="21"/>
      <c r="TH107" s="21"/>
      <c r="TI107" s="21"/>
      <c r="TJ107" s="21"/>
      <c r="TK107" s="21"/>
      <c r="TL107" s="21"/>
      <c r="TM107" s="21"/>
      <c r="TN107" s="21"/>
      <c r="TO107" s="21"/>
      <c r="TP107" s="21"/>
      <c r="TQ107" s="21"/>
      <c r="TR107" s="21"/>
      <c r="TS107" s="21"/>
      <c r="TT107" s="21"/>
      <c r="TU107" s="21"/>
      <c r="TV107" s="21"/>
      <c r="TW107" s="21"/>
      <c r="TX107" s="21"/>
      <c r="TY107" s="21"/>
      <c r="TZ107" s="21"/>
      <c r="UA107" s="21"/>
      <c r="UB107" s="21"/>
      <c r="UC107" s="21"/>
      <c r="UD107" s="21"/>
      <c r="UE107" s="21"/>
      <c r="UF107" s="21"/>
      <c r="UG107" s="21"/>
      <c r="UH107" s="21"/>
      <c r="UI107" s="21"/>
      <c r="UJ107" s="21"/>
      <c r="UK107" s="21"/>
      <c r="UL107" s="21"/>
      <c r="UM107" s="21"/>
      <c r="UN107" s="21"/>
      <c r="UO107" s="21"/>
      <c r="UP107" s="21"/>
      <c r="UQ107" s="21"/>
      <c r="UR107" s="21"/>
      <c r="US107" s="21"/>
      <c r="UT107" s="21"/>
      <c r="UU107" s="21"/>
      <c r="UV107" s="21"/>
      <c r="UW107" s="21"/>
      <c r="UX107" s="21"/>
      <c r="UY107" s="21"/>
      <c r="UZ107" s="21"/>
      <c r="VA107" s="21"/>
      <c r="VB107" s="21"/>
      <c r="VC107" s="21"/>
      <c r="VD107" s="21"/>
      <c r="VE107" s="21"/>
      <c r="VF107" s="21"/>
      <c r="VG107" s="21"/>
      <c r="VH107" s="21"/>
      <c r="VI107" s="21"/>
      <c r="VJ107" s="21"/>
      <c r="VK107" s="21"/>
      <c r="VL107" s="21"/>
      <c r="VM107" s="21"/>
      <c r="VN107" s="21"/>
      <c r="VO107" s="21"/>
      <c r="VP107" s="21"/>
      <c r="VQ107" s="21"/>
      <c r="VR107" s="21"/>
      <c r="VS107" s="21"/>
      <c r="VT107" s="21"/>
      <c r="VU107" s="21"/>
      <c r="VV107" s="21"/>
      <c r="VW107" s="21"/>
      <c r="VX107" s="21"/>
      <c r="VY107" s="21"/>
      <c r="VZ107" s="21"/>
      <c r="WA107" s="21"/>
      <c r="WB107" s="21"/>
      <c r="WC107" s="21"/>
      <c r="WD107" s="21"/>
      <c r="WE107" s="21"/>
      <c r="WF107" s="21"/>
      <c r="WG107" s="21"/>
      <c r="WH107" s="21"/>
      <c r="WI107" s="21"/>
      <c r="WJ107" s="21"/>
      <c r="WK107" s="21"/>
      <c r="WL107" s="21"/>
      <c r="WM107" s="21"/>
      <c r="WN107" s="21"/>
      <c r="WO107" s="21"/>
      <c r="WP107" s="21"/>
      <c r="WQ107" s="21"/>
      <c r="WR107" s="21"/>
      <c r="WS107" s="21"/>
      <c r="WT107" s="21"/>
      <c r="WU107" s="21"/>
      <c r="WV107" s="21"/>
      <c r="WW107" s="21"/>
      <c r="WX107" s="21"/>
      <c r="WY107" s="21"/>
      <c r="WZ107" s="21"/>
      <c r="XA107" s="21"/>
      <c r="XB107" s="21"/>
      <c r="XC107" s="21"/>
      <c r="XD107" s="21"/>
      <c r="XE107" s="21"/>
      <c r="XF107" s="21"/>
      <c r="XG107" s="21"/>
      <c r="XH107" s="21"/>
      <c r="XI107" s="21"/>
      <c r="XJ107" s="21"/>
      <c r="XK107" s="21"/>
      <c r="XL107" s="21"/>
      <c r="XM107" s="21"/>
      <c r="XN107" s="21"/>
      <c r="XO107" s="21"/>
      <c r="XP107" s="21"/>
      <c r="XQ107" s="21"/>
      <c r="XR107" s="21"/>
      <c r="XS107" s="21"/>
      <c r="XT107" s="21"/>
      <c r="XU107" s="21"/>
      <c r="XV107" s="21"/>
      <c r="XW107" s="21"/>
      <c r="XX107" s="21"/>
      <c r="XY107" s="21"/>
      <c r="XZ107" s="21"/>
      <c r="YA107" s="21"/>
      <c r="YB107" s="21"/>
      <c r="YC107" s="21"/>
      <c r="YD107" s="21"/>
      <c r="YE107" s="21"/>
      <c r="YF107" s="21"/>
      <c r="YG107" s="21"/>
      <c r="YH107" s="21"/>
      <c r="YI107" s="21"/>
      <c r="YJ107" s="21"/>
      <c r="YK107" s="21"/>
      <c r="YL107" s="21"/>
      <c r="YM107" s="21"/>
      <c r="YN107" s="21"/>
      <c r="YO107" s="21"/>
      <c r="YP107" s="21"/>
      <c r="YQ107" s="21"/>
      <c r="YR107" s="21"/>
      <c r="YS107" s="21"/>
      <c r="YT107" s="21"/>
      <c r="YU107" s="21"/>
      <c r="YV107" s="21"/>
      <c r="YW107" s="21"/>
      <c r="YX107" s="21"/>
      <c r="YY107" s="21"/>
      <c r="YZ107" s="21"/>
      <c r="ZA107" s="21"/>
      <c r="ZB107" s="21"/>
      <c r="ZC107" s="21"/>
      <c r="ZD107" s="21"/>
      <c r="ZE107" s="21"/>
      <c r="ZF107" s="21"/>
      <c r="ZG107" s="21"/>
      <c r="ZH107" s="21"/>
      <c r="ZI107" s="21"/>
      <c r="ZJ107" s="21"/>
      <c r="ZK107" s="21"/>
      <c r="ZL107" s="21"/>
      <c r="ZM107" s="21"/>
      <c r="ZN107" s="21"/>
      <c r="ZO107" s="21"/>
      <c r="ZP107" s="21"/>
      <c r="ZQ107" s="21"/>
      <c r="ZR107" s="21"/>
      <c r="ZS107" s="21"/>
      <c r="ZT107" s="21"/>
      <c r="ZU107" s="21"/>
      <c r="ZV107" s="21"/>
      <c r="ZW107" s="21"/>
      <c r="ZX107" s="21"/>
      <c r="ZY107" s="21"/>
      <c r="ZZ107" s="21"/>
      <c r="AAA107" s="21"/>
      <c r="AAB107" s="21"/>
      <c r="AAC107" s="21"/>
      <c r="AAD107" s="21"/>
      <c r="AAE107" s="21"/>
      <c r="AAF107" s="21"/>
      <c r="AAG107" s="21"/>
      <c r="AAH107" s="21"/>
      <c r="AAI107" s="21"/>
      <c r="AAJ107" s="21"/>
      <c r="AAK107" s="21"/>
      <c r="AAL107" s="21"/>
      <c r="AAM107" s="21"/>
      <c r="AAN107" s="21"/>
      <c r="AAO107" s="21"/>
      <c r="AAP107" s="21"/>
      <c r="AAQ107" s="21"/>
      <c r="AAR107" s="21"/>
      <c r="AAS107" s="21"/>
      <c r="AAT107" s="21"/>
      <c r="AAU107" s="21"/>
      <c r="AAV107" s="21"/>
      <c r="AAW107" s="21"/>
      <c r="AAX107" s="21"/>
      <c r="AAY107" s="21"/>
      <c r="AAZ107" s="21"/>
      <c r="ABA107" s="21"/>
      <c r="ABB107" s="21"/>
      <c r="ABC107" s="21"/>
      <c r="ABD107" s="21"/>
      <c r="ABE107" s="21"/>
      <c r="ABF107" s="21"/>
      <c r="ABG107" s="21"/>
      <c r="ABH107" s="21"/>
      <c r="ABI107" s="21"/>
      <c r="ABJ107" s="21"/>
      <c r="ABK107" s="21"/>
      <c r="ABL107" s="21"/>
      <c r="ABM107" s="21"/>
      <c r="ABN107" s="21"/>
      <c r="ABO107" s="21"/>
      <c r="ABP107" s="21"/>
      <c r="ABQ107" s="21"/>
      <c r="ABR107" s="21"/>
      <c r="ABS107" s="21"/>
      <c r="ABT107" s="21"/>
      <c r="ABU107" s="21"/>
      <c r="ABV107" s="21"/>
      <c r="ABW107" s="21"/>
      <c r="ABX107" s="21"/>
      <c r="ABY107" s="21"/>
      <c r="ABZ107" s="21"/>
      <c r="ACA107" s="21"/>
      <c r="ACB107" s="21"/>
      <c r="ACC107" s="21"/>
      <c r="ACD107" s="21"/>
      <c r="ACE107" s="21"/>
      <c r="ACF107" s="21"/>
      <c r="ACG107" s="21"/>
      <c r="ACH107" s="21"/>
      <c r="ACI107" s="21"/>
      <c r="ACJ107" s="21"/>
      <c r="ACK107" s="21"/>
      <c r="ACL107" s="21"/>
      <c r="ACM107" s="21"/>
      <c r="ACN107" s="21"/>
      <c r="ACO107" s="21"/>
      <c r="ACP107" s="21"/>
      <c r="ACQ107" s="21"/>
      <c r="ACR107" s="21"/>
      <c r="ACS107" s="21"/>
      <c r="ACT107" s="21"/>
      <c r="ACU107" s="21"/>
      <c r="ACV107" s="21"/>
      <c r="ACW107" s="21"/>
      <c r="ACX107" s="21"/>
      <c r="ACY107" s="21"/>
      <c r="ACZ107" s="21"/>
      <c r="ADA107" s="21"/>
      <c r="ADB107" s="21"/>
      <c r="ADC107" s="21"/>
      <c r="ADD107" s="21"/>
      <c r="ADE107" s="21"/>
      <c r="ADF107" s="21"/>
      <c r="ADG107" s="21"/>
      <c r="ADH107" s="21"/>
      <c r="ADI107" s="21"/>
      <c r="ADJ107" s="21"/>
      <c r="ADK107" s="21"/>
      <c r="ADL107" s="21"/>
      <c r="ADM107" s="21"/>
      <c r="ADN107" s="21"/>
      <c r="ADO107" s="21"/>
      <c r="ADP107" s="21"/>
      <c r="ADQ107" s="21"/>
      <c r="ADR107" s="21"/>
      <c r="ADS107" s="21"/>
      <c r="ADT107" s="21"/>
      <c r="ADU107" s="21"/>
      <c r="ADV107" s="21"/>
      <c r="ADW107" s="21"/>
      <c r="ADX107" s="21"/>
      <c r="ADY107" s="21"/>
      <c r="ADZ107" s="21"/>
      <c r="AEA107" s="21"/>
      <c r="AEB107" s="21"/>
      <c r="AEC107" s="21"/>
      <c r="AED107" s="21"/>
      <c r="AEE107" s="21"/>
      <c r="AEF107" s="21"/>
      <c r="AEG107" s="21"/>
    </row>
    <row r="108" spans="1:813" s="93" customFormat="1" ht="90" x14ac:dyDescent="0.25">
      <c r="A108" s="179">
        <v>42</v>
      </c>
      <c r="B108" s="185" t="s">
        <v>242</v>
      </c>
      <c r="C108" s="38" t="s">
        <v>241</v>
      </c>
      <c r="D108" s="63" t="s">
        <v>240</v>
      </c>
      <c r="E108" s="36" t="s">
        <v>239</v>
      </c>
      <c r="F108" s="111">
        <v>0</v>
      </c>
      <c r="G108" s="32">
        <v>0</v>
      </c>
      <c r="H108" s="33">
        <f t="shared" si="32"/>
        <v>0</v>
      </c>
      <c r="I108" s="32">
        <v>0</v>
      </c>
      <c r="J108" s="33">
        <f t="shared" si="22"/>
        <v>0</v>
      </c>
      <c r="K108" s="32">
        <v>0</v>
      </c>
      <c r="L108" s="33">
        <f t="shared" si="23"/>
        <v>0</v>
      </c>
      <c r="M108" s="32">
        <v>0</v>
      </c>
      <c r="N108" s="33">
        <f t="shared" si="33"/>
        <v>0</v>
      </c>
      <c r="O108" s="32">
        <v>0</v>
      </c>
      <c r="P108" s="33">
        <f t="shared" si="24"/>
        <v>0</v>
      </c>
      <c r="Q108" s="32">
        <v>0</v>
      </c>
      <c r="R108" s="33">
        <f t="shared" si="36"/>
        <v>0</v>
      </c>
      <c r="S108" s="32">
        <v>0</v>
      </c>
      <c r="T108" s="33">
        <f t="shared" si="34"/>
        <v>0</v>
      </c>
      <c r="U108" s="32">
        <v>0</v>
      </c>
      <c r="V108" s="33">
        <f t="shared" si="26"/>
        <v>0</v>
      </c>
      <c r="W108" s="32">
        <v>0</v>
      </c>
      <c r="X108" s="33">
        <f t="shared" si="27"/>
        <v>0</v>
      </c>
      <c r="Y108" s="32">
        <v>0</v>
      </c>
      <c r="Z108" s="33">
        <f t="shared" si="28"/>
        <v>0</v>
      </c>
      <c r="AA108" s="32">
        <v>0</v>
      </c>
      <c r="AB108" s="33">
        <f t="shared" si="29"/>
        <v>0</v>
      </c>
      <c r="AC108" s="32">
        <v>0</v>
      </c>
      <c r="AD108" s="33">
        <f t="shared" si="30"/>
        <v>0</v>
      </c>
      <c r="AE108" s="32"/>
      <c r="AF108" s="33">
        <f t="shared" si="31"/>
        <v>0</v>
      </c>
      <c r="AG108" s="33">
        <v>1.4</v>
      </c>
      <c r="AH108" s="33">
        <f>549/2</f>
        <v>274.5</v>
      </c>
      <c r="AI108" s="32">
        <f t="shared" si="35"/>
        <v>380</v>
      </c>
      <c r="AJ108" s="31">
        <v>29684.9117206868</v>
      </c>
      <c r="AK108" s="31">
        <v>2418.0368776126256</v>
      </c>
      <c r="AL108" s="31">
        <v>32102.948598299427</v>
      </c>
      <c r="AM108" s="30" t="s">
        <v>18</v>
      </c>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c r="FT108" s="21"/>
      <c r="FU108" s="21"/>
      <c r="FV108" s="21"/>
      <c r="FW108" s="21"/>
      <c r="FX108" s="21"/>
      <c r="FY108" s="21"/>
      <c r="FZ108" s="21"/>
      <c r="GA108" s="21"/>
      <c r="GB108" s="21"/>
      <c r="GC108" s="21"/>
      <c r="GD108" s="21"/>
      <c r="GE108" s="21"/>
      <c r="GF108" s="21"/>
      <c r="GG108" s="21"/>
      <c r="GH108" s="21"/>
      <c r="GI108" s="21"/>
      <c r="GJ108" s="21"/>
      <c r="GK108" s="21"/>
      <c r="GL108" s="21"/>
      <c r="GM108" s="21"/>
      <c r="GN108" s="21"/>
      <c r="GO108" s="21"/>
      <c r="GP108" s="21"/>
      <c r="GQ108" s="21"/>
      <c r="GR108" s="21"/>
      <c r="GS108" s="21"/>
      <c r="GT108" s="21"/>
      <c r="GU108" s="21"/>
      <c r="GV108" s="21"/>
      <c r="GW108" s="21"/>
      <c r="GX108" s="21"/>
      <c r="GY108" s="21"/>
      <c r="GZ108" s="21"/>
      <c r="HA108" s="21"/>
      <c r="HB108" s="21"/>
      <c r="HC108" s="21"/>
      <c r="HD108" s="21"/>
      <c r="HE108" s="21"/>
      <c r="HF108" s="21"/>
      <c r="HG108" s="21"/>
      <c r="HH108" s="21"/>
      <c r="HI108" s="21"/>
      <c r="HJ108" s="21"/>
      <c r="HK108" s="21"/>
      <c r="HL108" s="21"/>
      <c r="HM108" s="21"/>
      <c r="HN108" s="21"/>
      <c r="HO108" s="21"/>
      <c r="HP108" s="21"/>
      <c r="HQ108" s="21"/>
      <c r="HR108" s="21"/>
      <c r="HS108" s="21"/>
      <c r="HT108" s="21"/>
      <c r="HU108" s="21"/>
      <c r="HV108" s="21"/>
      <c r="HW108" s="21"/>
      <c r="HX108" s="21"/>
      <c r="HY108" s="21"/>
      <c r="HZ108" s="21"/>
      <c r="IA108" s="21"/>
      <c r="IB108" s="21"/>
      <c r="IC108" s="21"/>
      <c r="ID108" s="21"/>
      <c r="IE108" s="21"/>
      <c r="IF108" s="21"/>
      <c r="IG108" s="21"/>
      <c r="IH108" s="21"/>
      <c r="II108" s="21"/>
      <c r="IJ108" s="21"/>
      <c r="IK108" s="21"/>
      <c r="IL108" s="21"/>
      <c r="IM108" s="21"/>
      <c r="IN108" s="21"/>
      <c r="IO108" s="21"/>
      <c r="IP108" s="21"/>
      <c r="IQ108" s="21"/>
      <c r="IR108" s="21"/>
      <c r="IS108" s="21"/>
      <c r="IT108" s="21"/>
      <c r="IU108" s="21"/>
      <c r="IV108" s="21"/>
      <c r="IW108" s="21"/>
      <c r="IX108" s="21"/>
      <c r="IY108" s="21"/>
      <c r="IZ108" s="21"/>
      <c r="JA108" s="21"/>
      <c r="JB108" s="21"/>
      <c r="JC108" s="21"/>
      <c r="JD108" s="21"/>
      <c r="JE108" s="21"/>
      <c r="JF108" s="21"/>
      <c r="JG108" s="21"/>
      <c r="JH108" s="21"/>
      <c r="JI108" s="21"/>
      <c r="JJ108" s="21"/>
      <c r="JK108" s="21"/>
      <c r="JL108" s="21"/>
      <c r="JM108" s="21"/>
      <c r="JN108" s="21"/>
      <c r="JO108" s="21"/>
      <c r="JP108" s="21"/>
      <c r="JQ108" s="21"/>
      <c r="JR108" s="21"/>
      <c r="JS108" s="21"/>
      <c r="JT108" s="21"/>
      <c r="JU108" s="21"/>
      <c r="JV108" s="21"/>
      <c r="JW108" s="21"/>
      <c r="JX108" s="21"/>
      <c r="JY108" s="21"/>
      <c r="JZ108" s="21"/>
      <c r="KA108" s="21"/>
      <c r="KB108" s="21"/>
      <c r="KC108" s="21"/>
      <c r="KD108" s="21"/>
      <c r="KE108" s="21"/>
      <c r="KF108" s="21"/>
      <c r="KG108" s="21"/>
      <c r="KH108" s="21"/>
      <c r="KI108" s="21"/>
      <c r="KJ108" s="21"/>
      <c r="KK108" s="21"/>
      <c r="KL108" s="21"/>
      <c r="KM108" s="21"/>
      <c r="KN108" s="21"/>
      <c r="KO108" s="21"/>
      <c r="KP108" s="21"/>
      <c r="KQ108" s="21"/>
      <c r="KR108" s="21"/>
      <c r="KS108" s="21"/>
      <c r="KT108" s="21"/>
      <c r="KU108" s="21"/>
      <c r="KV108" s="21"/>
      <c r="KW108" s="21"/>
      <c r="KX108" s="21"/>
      <c r="KY108" s="21"/>
      <c r="KZ108" s="21"/>
      <c r="LA108" s="21"/>
      <c r="LB108" s="21"/>
      <c r="LC108" s="21"/>
      <c r="LD108" s="21"/>
      <c r="LE108" s="21"/>
      <c r="LF108" s="21"/>
      <c r="LG108" s="21"/>
      <c r="LH108" s="21"/>
      <c r="LI108" s="21"/>
      <c r="LJ108" s="21"/>
      <c r="LK108" s="21"/>
      <c r="LL108" s="21"/>
      <c r="LM108" s="21"/>
      <c r="LN108" s="21"/>
      <c r="LO108" s="21"/>
      <c r="LP108" s="21"/>
      <c r="LQ108" s="21"/>
      <c r="LR108" s="21"/>
      <c r="LS108" s="21"/>
      <c r="LT108" s="21"/>
      <c r="LU108" s="21"/>
      <c r="LV108" s="21"/>
      <c r="LW108" s="21"/>
      <c r="LX108" s="21"/>
      <c r="LY108" s="21"/>
      <c r="LZ108" s="21"/>
      <c r="MA108" s="21"/>
      <c r="MB108" s="21"/>
      <c r="MC108" s="21"/>
      <c r="MD108" s="21"/>
      <c r="ME108" s="21"/>
      <c r="MF108" s="21"/>
      <c r="MG108" s="21"/>
      <c r="MH108" s="21"/>
      <c r="MI108" s="21"/>
      <c r="MJ108" s="21"/>
      <c r="MK108" s="21"/>
      <c r="ML108" s="21"/>
      <c r="MM108" s="21"/>
      <c r="MN108" s="21"/>
      <c r="MO108" s="21"/>
      <c r="MP108" s="21"/>
      <c r="MQ108" s="21"/>
      <c r="MR108" s="21"/>
      <c r="MS108" s="21"/>
      <c r="MT108" s="21"/>
      <c r="MU108" s="21"/>
      <c r="MV108" s="21"/>
      <c r="MW108" s="21"/>
      <c r="MX108" s="21"/>
      <c r="MY108" s="21"/>
      <c r="MZ108" s="21"/>
      <c r="NA108" s="21"/>
      <c r="NB108" s="21"/>
      <c r="NC108" s="21"/>
      <c r="ND108" s="21"/>
      <c r="NE108" s="21"/>
      <c r="NF108" s="21"/>
      <c r="NG108" s="21"/>
      <c r="NH108" s="21"/>
      <c r="NI108" s="21"/>
      <c r="NJ108" s="21"/>
      <c r="NK108" s="21"/>
      <c r="NL108" s="21"/>
      <c r="NM108" s="21"/>
      <c r="NN108" s="21"/>
      <c r="NO108" s="21"/>
      <c r="NP108" s="21"/>
      <c r="NQ108" s="21"/>
      <c r="NR108" s="21"/>
      <c r="NS108" s="21"/>
      <c r="NT108" s="21"/>
      <c r="NU108" s="21"/>
      <c r="NV108" s="21"/>
      <c r="NW108" s="21"/>
      <c r="NX108" s="21"/>
      <c r="NY108" s="21"/>
      <c r="NZ108" s="21"/>
      <c r="OA108" s="21"/>
      <c r="OB108" s="21"/>
      <c r="OC108" s="21"/>
      <c r="OD108" s="21"/>
      <c r="OE108" s="21"/>
      <c r="OF108" s="21"/>
      <c r="OG108" s="21"/>
      <c r="OH108" s="21"/>
      <c r="OI108" s="21"/>
      <c r="OJ108" s="21"/>
      <c r="OK108" s="21"/>
      <c r="OL108" s="21"/>
      <c r="OM108" s="21"/>
      <c r="ON108" s="21"/>
      <c r="OO108" s="21"/>
      <c r="OP108" s="21"/>
      <c r="OQ108" s="21"/>
      <c r="OR108" s="21"/>
      <c r="OS108" s="21"/>
      <c r="OT108" s="21"/>
      <c r="OU108" s="21"/>
      <c r="OV108" s="21"/>
      <c r="OW108" s="21"/>
      <c r="OX108" s="21"/>
      <c r="OY108" s="21"/>
      <c r="OZ108" s="21"/>
      <c r="PA108" s="21"/>
      <c r="PB108" s="21"/>
      <c r="PC108" s="21"/>
      <c r="PD108" s="21"/>
      <c r="PE108" s="21"/>
      <c r="PF108" s="21"/>
      <c r="PG108" s="21"/>
      <c r="PH108" s="21"/>
      <c r="PI108" s="21"/>
      <c r="PJ108" s="21"/>
      <c r="PK108" s="21"/>
      <c r="PL108" s="21"/>
      <c r="PM108" s="21"/>
      <c r="PN108" s="21"/>
      <c r="PO108" s="21"/>
      <c r="PP108" s="21"/>
      <c r="PQ108" s="21"/>
      <c r="PR108" s="21"/>
      <c r="PS108" s="21"/>
      <c r="PT108" s="21"/>
      <c r="PU108" s="21"/>
      <c r="PV108" s="21"/>
      <c r="PW108" s="21"/>
      <c r="PX108" s="21"/>
      <c r="PY108" s="21"/>
      <c r="PZ108" s="21"/>
      <c r="QA108" s="21"/>
      <c r="QB108" s="21"/>
      <c r="QC108" s="21"/>
      <c r="QD108" s="21"/>
      <c r="QE108" s="21"/>
      <c r="QF108" s="21"/>
      <c r="QG108" s="21"/>
      <c r="QH108" s="21"/>
      <c r="QI108" s="21"/>
      <c r="QJ108" s="21"/>
      <c r="QK108" s="21"/>
      <c r="QL108" s="21"/>
      <c r="QM108" s="21"/>
      <c r="QN108" s="21"/>
      <c r="QO108" s="21"/>
      <c r="QP108" s="21"/>
      <c r="QQ108" s="21"/>
      <c r="QR108" s="21"/>
      <c r="QS108" s="21"/>
      <c r="QT108" s="21"/>
      <c r="QU108" s="21"/>
      <c r="QV108" s="21"/>
      <c r="QW108" s="21"/>
      <c r="QX108" s="21"/>
      <c r="QY108" s="21"/>
      <c r="QZ108" s="21"/>
      <c r="RA108" s="21"/>
      <c r="RB108" s="21"/>
      <c r="RC108" s="21"/>
      <c r="RD108" s="21"/>
      <c r="RE108" s="21"/>
      <c r="RF108" s="21"/>
      <c r="RG108" s="21"/>
      <c r="RH108" s="21"/>
      <c r="RI108" s="21"/>
      <c r="RJ108" s="21"/>
      <c r="RK108" s="21"/>
      <c r="RL108" s="21"/>
      <c r="RM108" s="21"/>
      <c r="RN108" s="21"/>
      <c r="RO108" s="21"/>
      <c r="RP108" s="21"/>
      <c r="RQ108" s="21"/>
      <c r="RR108" s="21"/>
      <c r="RS108" s="21"/>
      <c r="RT108" s="21"/>
      <c r="RU108" s="21"/>
      <c r="RV108" s="21"/>
      <c r="RW108" s="21"/>
      <c r="RX108" s="21"/>
      <c r="RY108" s="21"/>
      <c r="RZ108" s="21"/>
      <c r="SA108" s="21"/>
      <c r="SB108" s="21"/>
      <c r="SC108" s="21"/>
      <c r="SD108" s="21"/>
      <c r="SE108" s="21"/>
      <c r="SF108" s="21"/>
      <c r="SG108" s="21"/>
      <c r="SH108" s="21"/>
      <c r="SI108" s="21"/>
      <c r="SJ108" s="21"/>
      <c r="SK108" s="21"/>
      <c r="SL108" s="21"/>
      <c r="SM108" s="21"/>
      <c r="SN108" s="21"/>
      <c r="SO108" s="21"/>
      <c r="SP108" s="21"/>
      <c r="SQ108" s="21"/>
      <c r="SR108" s="21"/>
      <c r="SS108" s="21"/>
      <c r="ST108" s="21"/>
      <c r="SU108" s="21"/>
      <c r="SV108" s="21"/>
      <c r="SW108" s="21"/>
      <c r="SX108" s="21"/>
      <c r="SY108" s="21"/>
      <c r="SZ108" s="21"/>
      <c r="TA108" s="21"/>
      <c r="TB108" s="21"/>
      <c r="TC108" s="21"/>
      <c r="TD108" s="21"/>
      <c r="TE108" s="21"/>
      <c r="TF108" s="21"/>
      <c r="TG108" s="21"/>
      <c r="TH108" s="21"/>
      <c r="TI108" s="21"/>
      <c r="TJ108" s="21"/>
      <c r="TK108" s="21"/>
      <c r="TL108" s="21"/>
      <c r="TM108" s="21"/>
      <c r="TN108" s="21"/>
      <c r="TO108" s="21"/>
      <c r="TP108" s="21"/>
      <c r="TQ108" s="21"/>
      <c r="TR108" s="21"/>
      <c r="TS108" s="21"/>
      <c r="TT108" s="21"/>
      <c r="TU108" s="21"/>
      <c r="TV108" s="21"/>
      <c r="TW108" s="21"/>
      <c r="TX108" s="21"/>
      <c r="TY108" s="21"/>
      <c r="TZ108" s="21"/>
      <c r="UA108" s="21"/>
      <c r="UB108" s="21"/>
      <c r="UC108" s="21"/>
      <c r="UD108" s="21"/>
      <c r="UE108" s="21"/>
      <c r="UF108" s="21"/>
      <c r="UG108" s="21"/>
      <c r="UH108" s="21"/>
      <c r="UI108" s="21"/>
      <c r="UJ108" s="21"/>
      <c r="UK108" s="21"/>
      <c r="UL108" s="21"/>
      <c r="UM108" s="21"/>
      <c r="UN108" s="21"/>
      <c r="UO108" s="21"/>
      <c r="UP108" s="21"/>
      <c r="UQ108" s="21"/>
      <c r="UR108" s="21"/>
      <c r="US108" s="21"/>
      <c r="UT108" s="21"/>
      <c r="UU108" s="21"/>
      <c r="UV108" s="21"/>
      <c r="UW108" s="21"/>
      <c r="UX108" s="21"/>
      <c r="UY108" s="21"/>
      <c r="UZ108" s="21"/>
      <c r="VA108" s="21"/>
      <c r="VB108" s="21"/>
      <c r="VC108" s="21"/>
      <c r="VD108" s="21"/>
      <c r="VE108" s="21"/>
      <c r="VF108" s="21"/>
      <c r="VG108" s="21"/>
      <c r="VH108" s="21"/>
      <c r="VI108" s="21"/>
      <c r="VJ108" s="21"/>
      <c r="VK108" s="21"/>
      <c r="VL108" s="21"/>
      <c r="VM108" s="21"/>
      <c r="VN108" s="21"/>
      <c r="VO108" s="21"/>
      <c r="VP108" s="21"/>
      <c r="VQ108" s="21"/>
      <c r="VR108" s="21"/>
      <c r="VS108" s="21"/>
      <c r="VT108" s="21"/>
      <c r="VU108" s="21"/>
      <c r="VV108" s="21"/>
      <c r="VW108" s="21"/>
      <c r="VX108" s="21"/>
      <c r="VY108" s="21"/>
      <c r="VZ108" s="21"/>
      <c r="WA108" s="21"/>
      <c r="WB108" s="21"/>
      <c r="WC108" s="21"/>
      <c r="WD108" s="21"/>
      <c r="WE108" s="21"/>
      <c r="WF108" s="21"/>
      <c r="WG108" s="21"/>
      <c r="WH108" s="21"/>
      <c r="WI108" s="21"/>
      <c r="WJ108" s="21"/>
      <c r="WK108" s="21"/>
      <c r="WL108" s="21"/>
      <c r="WM108" s="21"/>
      <c r="WN108" s="21"/>
      <c r="WO108" s="21"/>
      <c r="WP108" s="21"/>
      <c r="WQ108" s="21"/>
      <c r="WR108" s="21"/>
      <c r="WS108" s="21"/>
      <c r="WT108" s="21"/>
      <c r="WU108" s="21"/>
      <c r="WV108" s="21"/>
      <c r="WW108" s="21"/>
      <c r="WX108" s="21"/>
      <c r="WY108" s="21"/>
      <c r="WZ108" s="21"/>
      <c r="XA108" s="21"/>
      <c r="XB108" s="21"/>
      <c r="XC108" s="21"/>
      <c r="XD108" s="21"/>
      <c r="XE108" s="21"/>
      <c r="XF108" s="21"/>
      <c r="XG108" s="21"/>
      <c r="XH108" s="21"/>
      <c r="XI108" s="21"/>
      <c r="XJ108" s="21"/>
      <c r="XK108" s="21"/>
      <c r="XL108" s="21"/>
      <c r="XM108" s="21"/>
      <c r="XN108" s="21"/>
      <c r="XO108" s="21"/>
      <c r="XP108" s="21"/>
      <c r="XQ108" s="21"/>
      <c r="XR108" s="21"/>
      <c r="XS108" s="21"/>
      <c r="XT108" s="21"/>
      <c r="XU108" s="21"/>
      <c r="XV108" s="21"/>
      <c r="XW108" s="21"/>
      <c r="XX108" s="21"/>
      <c r="XY108" s="21"/>
      <c r="XZ108" s="21"/>
      <c r="YA108" s="21"/>
      <c r="YB108" s="21"/>
      <c r="YC108" s="21"/>
      <c r="YD108" s="21"/>
      <c r="YE108" s="21"/>
      <c r="YF108" s="21"/>
      <c r="YG108" s="21"/>
      <c r="YH108" s="21"/>
      <c r="YI108" s="21"/>
      <c r="YJ108" s="21"/>
      <c r="YK108" s="21"/>
      <c r="YL108" s="21"/>
      <c r="YM108" s="21"/>
      <c r="YN108" s="21"/>
      <c r="YO108" s="21"/>
      <c r="YP108" s="21"/>
      <c r="YQ108" s="21"/>
      <c r="YR108" s="21"/>
      <c r="YS108" s="21"/>
      <c r="YT108" s="21"/>
      <c r="YU108" s="21"/>
      <c r="YV108" s="21"/>
      <c r="YW108" s="21"/>
      <c r="YX108" s="21"/>
      <c r="YY108" s="21"/>
      <c r="YZ108" s="21"/>
      <c r="ZA108" s="21"/>
      <c r="ZB108" s="21"/>
      <c r="ZC108" s="21"/>
      <c r="ZD108" s="21"/>
      <c r="ZE108" s="21"/>
      <c r="ZF108" s="21"/>
      <c r="ZG108" s="21"/>
      <c r="ZH108" s="21"/>
      <c r="ZI108" s="21"/>
      <c r="ZJ108" s="21"/>
      <c r="ZK108" s="21"/>
      <c r="ZL108" s="21"/>
      <c r="ZM108" s="21"/>
      <c r="ZN108" s="21"/>
      <c r="ZO108" s="21"/>
      <c r="ZP108" s="21"/>
      <c r="ZQ108" s="21"/>
      <c r="ZR108" s="21"/>
      <c r="ZS108" s="21"/>
      <c r="ZT108" s="21"/>
      <c r="ZU108" s="21"/>
      <c r="ZV108" s="21"/>
      <c r="ZW108" s="21"/>
      <c r="ZX108" s="21"/>
      <c r="ZY108" s="21"/>
      <c r="ZZ108" s="21"/>
      <c r="AAA108" s="21"/>
      <c r="AAB108" s="21"/>
      <c r="AAC108" s="21"/>
      <c r="AAD108" s="21"/>
      <c r="AAE108" s="21"/>
      <c r="AAF108" s="21"/>
      <c r="AAG108" s="21"/>
      <c r="AAH108" s="21"/>
      <c r="AAI108" s="21"/>
      <c r="AAJ108" s="21"/>
      <c r="AAK108" s="21"/>
      <c r="AAL108" s="21"/>
      <c r="AAM108" s="21"/>
      <c r="AAN108" s="21"/>
      <c r="AAO108" s="21"/>
      <c r="AAP108" s="21"/>
      <c r="AAQ108" s="21"/>
      <c r="AAR108" s="21"/>
      <c r="AAS108" s="21"/>
      <c r="AAT108" s="21"/>
      <c r="AAU108" s="21"/>
      <c r="AAV108" s="21"/>
      <c r="AAW108" s="21"/>
      <c r="AAX108" s="21"/>
      <c r="AAY108" s="21"/>
      <c r="AAZ108" s="21"/>
      <c r="ABA108" s="21"/>
      <c r="ABB108" s="21"/>
      <c r="ABC108" s="21"/>
      <c r="ABD108" s="21"/>
      <c r="ABE108" s="21"/>
      <c r="ABF108" s="21"/>
      <c r="ABG108" s="21"/>
      <c r="ABH108" s="21"/>
      <c r="ABI108" s="21"/>
      <c r="ABJ108" s="21"/>
      <c r="ABK108" s="21"/>
      <c r="ABL108" s="21"/>
      <c r="ABM108" s="21"/>
      <c r="ABN108" s="21"/>
      <c r="ABO108" s="21"/>
      <c r="ABP108" s="21"/>
      <c r="ABQ108" s="21"/>
      <c r="ABR108" s="21"/>
      <c r="ABS108" s="21"/>
      <c r="ABT108" s="21"/>
      <c r="ABU108" s="21"/>
      <c r="ABV108" s="21"/>
      <c r="ABW108" s="21"/>
      <c r="ABX108" s="21"/>
      <c r="ABY108" s="21"/>
      <c r="ABZ108" s="21"/>
      <c r="ACA108" s="21"/>
      <c r="ACB108" s="21"/>
      <c r="ACC108" s="21"/>
      <c r="ACD108" s="21"/>
      <c r="ACE108" s="21"/>
      <c r="ACF108" s="21"/>
      <c r="ACG108" s="21"/>
      <c r="ACH108" s="21"/>
      <c r="ACI108" s="21"/>
      <c r="ACJ108" s="21"/>
      <c r="ACK108" s="21"/>
      <c r="ACL108" s="21"/>
      <c r="ACM108" s="21"/>
      <c r="ACN108" s="21"/>
      <c r="ACO108" s="21"/>
      <c r="ACP108" s="21"/>
      <c r="ACQ108" s="21"/>
      <c r="ACR108" s="21"/>
      <c r="ACS108" s="21"/>
      <c r="ACT108" s="21"/>
      <c r="ACU108" s="21"/>
      <c r="ACV108" s="21"/>
      <c r="ACW108" s="21"/>
      <c r="ACX108" s="21"/>
      <c r="ACY108" s="21"/>
      <c r="ACZ108" s="21"/>
      <c r="ADA108" s="21"/>
      <c r="ADB108" s="21"/>
      <c r="ADC108" s="21"/>
      <c r="ADD108" s="21"/>
      <c r="ADE108" s="21"/>
      <c r="ADF108" s="21"/>
      <c r="ADG108" s="21"/>
      <c r="ADH108" s="21"/>
      <c r="ADI108" s="21"/>
      <c r="ADJ108" s="21"/>
      <c r="ADK108" s="21"/>
      <c r="ADL108" s="21"/>
      <c r="ADM108" s="21"/>
      <c r="ADN108" s="21"/>
      <c r="ADO108" s="21"/>
      <c r="ADP108" s="21"/>
      <c r="ADQ108" s="21"/>
      <c r="ADR108" s="21"/>
      <c r="ADS108" s="21"/>
      <c r="ADT108" s="21"/>
      <c r="ADU108" s="21"/>
      <c r="ADV108" s="21"/>
      <c r="ADW108" s="21"/>
      <c r="ADX108" s="21"/>
      <c r="ADY108" s="21"/>
      <c r="ADZ108" s="21"/>
      <c r="AEA108" s="21"/>
      <c r="AEB108" s="21"/>
      <c r="AEC108" s="21"/>
      <c r="AED108" s="21"/>
      <c r="AEE108" s="21"/>
      <c r="AEF108" s="21"/>
      <c r="AEG108" s="21"/>
    </row>
    <row r="109" spans="1:813" s="93" customFormat="1" ht="75" x14ac:dyDescent="0.25">
      <c r="A109" s="179"/>
      <c r="B109" s="185"/>
      <c r="C109" s="38" t="s">
        <v>238</v>
      </c>
      <c r="D109" s="63" t="s">
        <v>237</v>
      </c>
      <c r="E109" s="36" t="s">
        <v>236</v>
      </c>
      <c r="F109" s="111">
        <v>0</v>
      </c>
      <c r="G109" s="32">
        <v>0</v>
      </c>
      <c r="H109" s="33">
        <f t="shared" si="32"/>
        <v>0</v>
      </c>
      <c r="I109" s="32">
        <v>0</v>
      </c>
      <c r="J109" s="33">
        <f t="shared" si="22"/>
        <v>0</v>
      </c>
      <c r="K109" s="32">
        <v>0</v>
      </c>
      <c r="L109" s="33">
        <f t="shared" si="23"/>
        <v>0</v>
      </c>
      <c r="M109" s="32">
        <v>0</v>
      </c>
      <c r="N109" s="33">
        <f t="shared" si="33"/>
        <v>0</v>
      </c>
      <c r="O109" s="32">
        <v>0</v>
      </c>
      <c r="P109" s="33">
        <f t="shared" si="24"/>
        <v>0</v>
      </c>
      <c r="Q109" s="32">
        <v>0</v>
      </c>
      <c r="R109" s="33">
        <f t="shared" si="36"/>
        <v>0</v>
      </c>
      <c r="S109" s="32">
        <v>0</v>
      </c>
      <c r="T109" s="33">
        <f t="shared" si="34"/>
        <v>0</v>
      </c>
      <c r="U109" s="32">
        <v>0</v>
      </c>
      <c r="V109" s="33">
        <f t="shared" si="26"/>
        <v>0</v>
      </c>
      <c r="W109" s="32">
        <v>0</v>
      </c>
      <c r="X109" s="33">
        <f t="shared" si="27"/>
        <v>0</v>
      </c>
      <c r="Y109" s="32">
        <v>0</v>
      </c>
      <c r="Z109" s="33">
        <f t="shared" si="28"/>
        <v>0</v>
      </c>
      <c r="AA109" s="32">
        <v>0</v>
      </c>
      <c r="AB109" s="33">
        <f t="shared" si="29"/>
        <v>0</v>
      </c>
      <c r="AC109" s="32">
        <v>0</v>
      </c>
      <c r="AD109" s="33">
        <f t="shared" si="30"/>
        <v>0</v>
      </c>
      <c r="AE109" s="32"/>
      <c r="AF109" s="33">
        <f t="shared" si="31"/>
        <v>0</v>
      </c>
      <c r="AG109" s="33">
        <v>0</v>
      </c>
      <c r="AH109" s="33">
        <v>0</v>
      </c>
      <c r="AI109" s="32">
        <f t="shared" si="35"/>
        <v>0</v>
      </c>
      <c r="AJ109" s="31">
        <v>385.51833403489354</v>
      </c>
      <c r="AK109" s="31">
        <v>31.403076332631507</v>
      </c>
      <c r="AL109" s="31">
        <v>416.92141036752503</v>
      </c>
      <c r="AM109" s="30" t="s">
        <v>18</v>
      </c>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c r="EF109" s="21"/>
      <c r="EG109" s="21"/>
      <c r="EH109" s="21"/>
      <c r="EI109" s="21"/>
      <c r="EJ109" s="21"/>
      <c r="EK109" s="21"/>
      <c r="EL109" s="21"/>
      <c r="EM109" s="21"/>
      <c r="EN109" s="21"/>
      <c r="EO109" s="21"/>
      <c r="EP109" s="21"/>
      <c r="EQ109" s="21"/>
      <c r="ER109" s="21"/>
      <c r="ES109" s="21"/>
      <c r="ET109" s="21"/>
      <c r="EU109" s="21"/>
      <c r="EV109" s="21"/>
      <c r="EW109" s="21"/>
      <c r="EX109" s="21"/>
      <c r="EY109" s="21"/>
      <c r="EZ109" s="21"/>
      <c r="FA109" s="21"/>
      <c r="FB109" s="21"/>
      <c r="FC109" s="21"/>
      <c r="FD109" s="21"/>
      <c r="FE109" s="21"/>
      <c r="FF109" s="21"/>
      <c r="FG109" s="21"/>
      <c r="FH109" s="21"/>
      <c r="FI109" s="21"/>
      <c r="FJ109" s="21"/>
      <c r="FK109" s="21"/>
      <c r="FL109" s="21"/>
      <c r="FM109" s="21"/>
      <c r="FN109" s="21"/>
      <c r="FO109" s="21"/>
      <c r="FP109" s="21"/>
      <c r="FQ109" s="21"/>
      <c r="FR109" s="21"/>
      <c r="FS109" s="21"/>
      <c r="FT109" s="21"/>
      <c r="FU109" s="21"/>
      <c r="FV109" s="21"/>
      <c r="FW109" s="21"/>
      <c r="FX109" s="21"/>
      <c r="FY109" s="21"/>
      <c r="FZ109" s="21"/>
      <c r="GA109" s="21"/>
      <c r="GB109" s="21"/>
      <c r="GC109" s="21"/>
      <c r="GD109" s="21"/>
      <c r="GE109" s="21"/>
      <c r="GF109" s="21"/>
      <c r="GG109" s="21"/>
      <c r="GH109" s="21"/>
      <c r="GI109" s="21"/>
      <c r="GJ109" s="21"/>
      <c r="GK109" s="21"/>
      <c r="GL109" s="21"/>
      <c r="GM109" s="21"/>
      <c r="GN109" s="21"/>
      <c r="GO109" s="21"/>
      <c r="GP109" s="21"/>
      <c r="GQ109" s="21"/>
      <c r="GR109" s="21"/>
      <c r="GS109" s="21"/>
      <c r="GT109" s="21"/>
      <c r="GU109" s="21"/>
      <c r="GV109" s="21"/>
      <c r="GW109" s="21"/>
      <c r="GX109" s="21"/>
      <c r="GY109" s="21"/>
      <c r="GZ109" s="21"/>
      <c r="HA109" s="21"/>
      <c r="HB109" s="21"/>
      <c r="HC109" s="21"/>
      <c r="HD109" s="21"/>
      <c r="HE109" s="21"/>
      <c r="HF109" s="21"/>
      <c r="HG109" s="21"/>
      <c r="HH109" s="21"/>
      <c r="HI109" s="21"/>
      <c r="HJ109" s="21"/>
      <c r="HK109" s="21"/>
      <c r="HL109" s="21"/>
      <c r="HM109" s="21"/>
      <c r="HN109" s="21"/>
      <c r="HO109" s="21"/>
      <c r="HP109" s="21"/>
      <c r="HQ109" s="21"/>
      <c r="HR109" s="21"/>
      <c r="HS109" s="21"/>
      <c r="HT109" s="21"/>
      <c r="HU109" s="21"/>
      <c r="HV109" s="21"/>
      <c r="HW109" s="21"/>
      <c r="HX109" s="21"/>
      <c r="HY109" s="21"/>
      <c r="HZ109" s="21"/>
      <c r="IA109" s="21"/>
      <c r="IB109" s="21"/>
      <c r="IC109" s="21"/>
      <c r="ID109" s="21"/>
      <c r="IE109" s="21"/>
      <c r="IF109" s="21"/>
      <c r="IG109" s="21"/>
      <c r="IH109" s="21"/>
      <c r="II109" s="21"/>
      <c r="IJ109" s="21"/>
      <c r="IK109" s="21"/>
      <c r="IL109" s="21"/>
      <c r="IM109" s="21"/>
      <c r="IN109" s="21"/>
      <c r="IO109" s="21"/>
      <c r="IP109" s="21"/>
      <c r="IQ109" s="21"/>
      <c r="IR109" s="21"/>
      <c r="IS109" s="21"/>
      <c r="IT109" s="21"/>
      <c r="IU109" s="21"/>
      <c r="IV109" s="21"/>
      <c r="IW109" s="21"/>
      <c r="IX109" s="21"/>
      <c r="IY109" s="21"/>
      <c r="IZ109" s="21"/>
      <c r="JA109" s="21"/>
      <c r="JB109" s="21"/>
      <c r="JC109" s="21"/>
      <c r="JD109" s="21"/>
      <c r="JE109" s="21"/>
      <c r="JF109" s="21"/>
      <c r="JG109" s="21"/>
      <c r="JH109" s="21"/>
      <c r="JI109" s="21"/>
      <c r="JJ109" s="21"/>
      <c r="JK109" s="21"/>
      <c r="JL109" s="21"/>
      <c r="JM109" s="21"/>
      <c r="JN109" s="21"/>
      <c r="JO109" s="21"/>
      <c r="JP109" s="21"/>
      <c r="JQ109" s="21"/>
      <c r="JR109" s="21"/>
      <c r="JS109" s="21"/>
      <c r="JT109" s="21"/>
      <c r="JU109" s="21"/>
      <c r="JV109" s="21"/>
      <c r="JW109" s="21"/>
      <c r="JX109" s="21"/>
      <c r="JY109" s="21"/>
      <c r="JZ109" s="21"/>
      <c r="KA109" s="21"/>
      <c r="KB109" s="21"/>
      <c r="KC109" s="21"/>
      <c r="KD109" s="21"/>
      <c r="KE109" s="21"/>
      <c r="KF109" s="21"/>
      <c r="KG109" s="21"/>
      <c r="KH109" s="21"/>
      <c r="KI109" s="21"/>
      <c r="KJ109" s="21"/>
      <c r="KK109" s="21"/>
      <c r="KL109" s="21"/>
      <c r="KM109" s="21"/>
      <c r="KN109" s="21"/>
      <c r="KO109" s="21"/>
      <c r="KP109" s="21"/>
      <c r="KQ109" s="21"/>
      <c r="KR109" s="21"/>
      <c r="KS109" s="21"/>
      <c r="KT109" s="21"/>
      <c r="KU109" s="21"/>
      <c r="KV109" s="21"/>
      <c r="KW109" s="21"/>
      <c r="KX109" s="21"/>
      <c r="KY109" s="21"/>
      <c r="KZ109" s="21"/>
      <c r="LA109" s="21"/>
      <c r="LB109" s="21"/>
      <c r="LC109" s="21"/>
      <c r="LD109" s="21"/>
      <c r="LE109" s="21"/>
      <c r="LF109" s="21"/>
      <c r="LG109" s="21"/>
      <c r="LH109" s="21"/>
      <c r="LI109" s="21"/>
      <c r="LJ109" s="21"/>
      <c r="LK109" s="21"/>
      <c r="LL109" s="21"/>
      <c r="LM109" s="21"/>
      <c r="LN109" s="21"/>
      <c r="LO109" s="21"/>
      <c r="LP109" s="21"/>
      <c r="LQ109" s="21"/>
      <c r="LR109" s="21"/>
      <c r="LS109" s="21"/>
      <c r="LT109" s="21"/>
      <c r="LU109" s="21"/>
      <c r="LV109" s="21"/>
      <c r="LW109" s="21"/>
      <c r="LX109" s="21"/>
      <c r="LY109" s="21"/>
      <c r="LZ109" s="21"/>
      <c r="MA109" s="21"/>
      <c r="MB109" s="21"/>
      <c r="MC109" s="21"/>
      <c r="MD109" s="21"/>
      <c r="ME109" s="21"/>
      <c r="MF109" s="21"/>
      <c r="MG109" s="21"/>
      <c r="MH109" s="21"/>
      <c r="MI109" s="21"/>
      <c r="MJ109" s="21"/>
      <c r="MK109" s="21"/>
      <c r="ML109" s="21"/>
      <c r="MM109" s="21"/>
      <c r="MN109" s="21"/>
      <c r="MO109" s="21"/>
      <c r="MP109" s="21"/>
      <c r="MQ109" s="21"/>
      <c r="MR109" s="21"/>
      <c r="MS109" s="21"/>
      <c r="MT109" s="21"/>
      <c r="MU109" s="21"/>
      <c r="MV109" s="21"/>
      <c r="MW109" s="21"/>
      <c r="MX109" s="21"/>
      <c r="MY109" s="21"/>
      <c r="MZ109" s="21"/>
      <c r="NA109" s="21"/>
      <c r="NB109" s="21"/>
      <c r="NC109" s="21"/>
      <c r="ND109" s="21"/>
      <c r="NE109" s="21"/>
      <c r="NF109" s="21"/>
      <c r="NG109" s="21"/>
      <c r="NH109" s="21"/>
      <c r="NI109" s="21"/>
      <c r="NJ109" s="21"/>
      <c r="NK109" s="21"/>
      <c r="NL109" s="21"/>
      <c r="NM109" s="21"/>
      <c r="NN109" s="21"/>
      <c r="NO109" s="21"/>
      <c r="NP109" s="21"/>
      <c r="NQ109" s="21"/>
      <c r="NR109" s="21"/>
      <c r="NS109" s="21"/>
      <c r="NT109" s="21"/>
      <c r="NU109" s="21"/>
      <c r="NV109" s="21"/>
      <c r="NW109" s="21"/>
      <c r="NX109" s="21"/>
      <c r="NY109" s="21"/>
      <c r="NZ109" s="21"/>
      <c r="OA109" s="21"/>
      <c r="OB109" s="21"/>
      <c r="OC109" s="21"/>
      <c r="OD109" s="21"/>
      <c r="OE109" s="21"/>
      <c r="OF109" s="21"/>
      <c r="OG109" s="21"/>
      <c r="OH109" s="21"/>
      <c r="OI109" s="21"/>
      <c r="OJ109" s="21"/>
      <c r="OK109" s="21"/>
      <c r="OL109" s="21"/>
      <c r="OM109" s="21"/>
      <c r="ON109" s="21"/>
      <c r="OO109" s="21"/>
      <c r="OP109" s="21"/>
      <c r="OQ109" s="21"/>
      <c r="OR109" s="21"/>
      <c r="OS109" s="21"/>
      <c r="OT109" s="21"/>
      <c r="OU109" s="21"/>
      <c r="OV109" s="21"/>
      <c r="OW109" s="21"/>
      <c r="OX109" s="21"/>
      <c r="OY109" s="21"/>
      <c r="OZ109" s="21"/>
      <c r="PA109" s="21"/>
      <c r="PB109" s="21"/>
      <c r="PC109" s="21"/>
      <c r="PD109" s="21"/>
      <c r="PE109" s="21"/>
      <c r="PF109" s="21"/>
      <c r="PG109" s="21"/>
      <c r="PH109" s="21"/>
      <c r="PI109" s="21"/>
      <c r="PJ109" s="21"/>
      <c r="PK109" s="21"/>
      <c r="PL109" s="21"/>
      <c r="PM109" s="21"/>
      <c r="PN109" s="21"/>
      <c r="PO109" s="21"/>
      <c r="PP109" s="21"/>
      <c r="PQ109" s="21"/>
      <c r="PR109" s="21"/>
      <c r="PS109" s="21"/>
      <c r="PT109" s="21"/>
      <c r="PU109" s="21"/>
      <c r="PV109" s="21"/>
      <c r="PW109" s="21"/>
      <c r="PX109" s="21"/>
      <c r="PY109" s="21"/>
      <c r="PZ109" s="21"/>
      <c r="QA109" s="21"/>
      <c r="QB109" s="21"/>
      <c r="QC109" s="21"/>
      <c r="QD109" s="21"/>
      <c r="QE109" s="21"/>
      <c r="QF109" s="21"/>
      <c r="QG109" s="21"/>
      <c r="QH109" s="21"/>
      <c r="QI109" s="21"/>
      <c r="QJ109" s="21"/>
      <c r="QK109" s="21"/>
      <c r="QL109" s="21"/>
      <c r="QM109" s="21"/>
      <c r="QN109" s="21"/>
      <c r="QO109" s="21"/>
      <c r="QP109" s="21"/>
      <c r="QQ109" s="21"/>
      <c r="QR109" s="21"/>
      <c r="QS109" s="21"/>
      <c r="QT109" s="21"/>
      <c r="QU109" s="21"/>
      <c r="QV109" s="21"/>
      <c r="QW109" s="21"/>
      <c r="QX109" s="21"/>
      <c r="QY109" s="21"/>
      <c r="QZ109" s="21"/>
      <c r="RA109" s="21"/>
      <c r="RB109" s="21"/>
      <c r="RC109" s="21"/>
      <c r="RD109" s="21"/>
      <c r="RE109" s="21"/>
      <c r="RF109" s="21"/>
      <c r="RG109" s="21"/>
      <c r="RH109" s="21"/>
      <c r="RI109" s="21"/>
      <c r="RJ109" s="21"/>
      <c r="RK109" s="21"/>
      <c r="RL109" s="21"/>
      <c r="RM109" s="21"/>
      <c r="RN109" s="21"/>
      <c r="RO109" s="21"/>
      <c r="RP109" s="21"/>
      <c r="RQ109" s="21"/>
      <c r="RR109" s="21"/>
      <c r="RS109" s="21"/>
      <c r="RT109" s="21"/>
      <c r="RU109" s="21"/>
      <c r="RV109" s="21"/>
      <c r="RW109" s="21"/>
      <c r="RX109" s="21"/>
      <c r="RY109" s="21"/>
      <c r="RZ109" s="21"/>
      <c r="SA109" s="21"/>
      <c r="SB109" s="21"/>
      <c r="SC109" s="21"/>
      <c r="SD109" s="21"/>
      <c r="SE109" s="21"/>
      <c r="SF109" s="21"/>
      <c r="SG109" s="21"/>
      <c r="SH109" s="21"/>
      <c r="SI109" s="21"/>
      <c r="SJ109" s="21"/>
      <c r="SK109" s="21"/>
      <c r="SL109" s="21"/>
      <c r="SM109" s="21"/>
      <c r="SN109" s="21"/>
      <c r="SO109" s="21"/>
      <c r="SP109" s="21"/>
      <c r="SQ109" s="21"/>
      <c r="SR109" s="21"/>
      <c r="SS109" s="21"/>
      <c r="ST109" s="21"/>
      <c r="SU109" s="21"/>
      <c r="SV109" s="21"/>
      <c r="SW109" s="21"/>
      <c r="SX109" s="21"/>
      <c r="SY109" s="21"/>
      <c r="SZ109" s="21"/>
      <c r="TA109" s="21"/>
      <c r="TB109" s="21"/>
      <c r="TC109" s="21"/>
      <c r="TD109" s="21"/>
      <c r="TE109" s="21"/>
      <c r="TF109" s="21"/>
      <c r="TG109" s="21"/>
      <c r="TH109" s="21"/>
      <c r="TI109" s="21"/>
      <c r="TJ109" s="21"/>
      <c r="TK109" s="21"/>
      <c r="TL109" s="21"/>
      <c r="TM109" s="21"/>
      <c r="TN109" s="21"/>
      <c r="TO109" s="21"/>
      <c r="TP109" s="21"/>
      <c r="TQ109" s="21"/>
      <c r="TR109" s="21"/>
      <c r="TS109" s="21"/>
      <c r="TT109" s="21"/>
      <c r="TU109" s="21"/>
      <c r="TV109" s="21"/>
      <c r="TW109" s="21"/>
      <c r="TX109" s="21"/>
      <c r="TY109" s="21"/>
      <c r="TZ109" s="21"/>
      <c r="UA109" s="21"/>
      <c r="UB109" s="21"/>
      <c r="UC109" s="21"/>
      <c r="UD109" s="21"/>
      <c r="UE109" s="21"/>
      <c r="UF109" s="21"/>
      <c r="UG109" s="21"/>
      <c r="UH109" s="21"/>
      <c r="UI109" s="21"/>
      <c r="UJ109" s="21"/>
      <c r="UK109" s="21"/>
      <c r="UL109" s="21"/>
      <c r="UM109" s="21"/>
      <c r="UN109" s="21"/>
      <c r="UO109" s="21"/>
      <c r="UP109" s="21"/>
      <c r="UQ109" s="21"/>
      <c r="UR109" s="21"/>
      <c r="US109" s="21"/>
      <c r="UT109" s="21"/>
      <c r="UU109" s="21"/>
      <c r="UV109" s="21"/>
      <c r="UW109" s="21"/>
      <c r="UX109" s="21"/>
      <c r="UY109" s="21"/>
      <c r="UZ109" s="21"/>
      <c r="VA109" s="21"/>
      <c r="VB109" s="21"/>
      <c r="VC109" s="21"/>
      <c r="VD109" s="21"/>
      <c r="VE109" s="21"/>
      <c r="VF109" s="21"/>
      <c r="VG109" s="21"/>
      <c r="VH109" s="21"/>
      <c r="VI109" s="21"/>
      <c r="VJ109" s="21"/>
      <c r="VK109" s="21"/>
      <c r="VL109" s="21"/>
      <c r="VM109" s="21"/>
      <c r="VN109" s="21"/>
      <c r="VO109" s="21"/>
      <c r="VP109" s="21"/>
      <c r="VQ109" s="21"/>
      <c r="VR109" s="21"/>
      <c r="VS109" s="21"/>
      <c r="VT109" s="21"/>
      <c r="VU109" s="21"/>
      <c r="VV109" s="21"/>
      <c r="VW109" s="21"/>
      <c r="VX109" s="21"/>
      <c r="VY109" s="21"/>
      <c r="VZ109" s="21"/>
      <c r="WA109" s="21"/>
      <c r="WB109" s="21"/>
      <c r="WC109" s="21"/>
      <c r="WD109" s="21"/>
      <c r="WE109" s="21"/>
      <c r="WF109" s="21"/>
      <c r="WG109" s="21"/>
      <c r="WH109" s="21"/>
      <c r="WI109" s="21"/>
      <c r="WJ109" s="21"/>
      <c r="WK109" s="21"/>
      <c r="WL109" s="21"/>
      <c r="WM109" s="21"/>
      <c r="WN109" s="21"/>
      <c r="WO109" s="21"/>
      <c r="WP109" s="21"/>
      <c r="WQ109" s="21"/>
      <c r="WR109" s="21"/>
      <c r="WS109" s="21"/>
      <c r="WT109" s="21"/>
      <c r="WU109" s="21"/>
      <c r="WV109" s="21"/>
      <c r="WW109" s="21"/>
      <c r="WX109" s="21"/>
      <c r="WY109" s="21"/>
      <c r="WZ109" s="21"/>
      <c r="XA109" s="21"/>
      <c r="XB109" s="21"/>
      <c r="XC109" s="21"/>
      <c r="XD109" s="21"/>
      <c r="XE109" s="21"/>
      <c r="XF109" s="21"/>
      <c r="XG109" s="21"/>
      <c r="XH109" s="21"/>
      <c r="XI109" s="21"/>
      <c r="XJ109" s="21"/>
      <c r="XK109" s="21"/>
      <c r="XL109" s="21"/>
      <c r="XM109" s="21"/>
      <c r="XN109" s="21"/>
      <c r="XO109" s="21"/>
      <c r="XP109" s="21"/>
      <c r="XQ109" s="21"/>
      <c r="XR109" s="21"/>
      <c r="XS109" s="21"/>
      <c r="XT109" s="21"/>
      <c r="XU109" s="21"/>
      <c r="XV109" s="21"/>
      <c r="XW109" s="21"/>
      <c r="XX109" s="21"/>
      <c r="XY109" s="21"/>
      <c r="XZ109" s="21"/>
      <c r="YA109" s="21"/>
      <c r="YB109" s="21"/>
      <c r="YC109" s="21"/>
      <c r="YD109" s="21"/>
      <c r="YE109" s="21"/>
      <c r="YF109" s="21"/>
      <c r="YG109" s="21"/>
      <c r="YH109" s="21"/>
      <c r="YI109" s="21"/>
      <c r="YJ109" s="21"/>
      <c r="YK109" s="21"/>
      <c r="YL109" s="21"/>
      <c r="YM109" s="21"/>
      <c r="YN109" s="21"/>
      <c r="YO109" s="21"/>
      <c r="YP109" s="21"/>
      <c r="YQ109" s="21"/>
      <c r="YR109" s="21"/>
      <c r="YS109" s="21"/>
      <c r="YT109" s="21"/>
      <c r="YU109" s="21"/>
      <c r="YV109" s="21"/>
      <c r="YW109" s="21"/>
      <c r="YX109" s="21"/>
      <c r="YY109" s="21"/>
      <c r="YZ109" s="21"/>
      <c r="ZA109" s="21"/>
      <c r="ZB109" s="21"/>
      <c r="ZC109" s="21"/>
      <c r="ZD109" s="21"/>
      <c r="ZE109" s="21"/>
      <c r="ZF109" s="21"/>
      <c r="ZG109" s="21"/>
      <c r="ZH109" s="21"/>
      <c r="ZI109" s="21"/>
      <c r="ZJ109" s="21"/>
      <c r="ZK109" s="21"/>
      <c r="ZL109" s="21"/>
      <c r="ZM109" s="21"/>
      <c r="ZN109" s="21"/>
      <c r="ZO109" s="21"/>
      <c r="ZP109" s="21"/>
      <c r="ZQ109" s="21"/>
      <c r="ZR109" s="21"/>
      <c r="ZS109" s="21"/>
      <c r="ZT109" s="21"/>
      <c r="ZU109" s="21"/>
      <c r="ZV109" s="21"/>
      <c r="ZW109" s="21"/>
      <c r="ZX109" s="21"/>
      <c r="ZY109" s="21"/>
      <c r="ZZ109" s="21"/>
      <c r="AAA109" s="21"/>
      <c r="AAB109" s="21"/>
      <c r="AAC109" s="21"/>
      <c r="AAD109" s="21"/>
      <c r="AAE109" s="21"/>
      <c r="AAF109" s="21"/>
      <c r="AAG109" s="21"/>
      <c r="AAH109" s="21"/>
      <c r="AAI109" s="21"/>
      <c r="AAJ109" s="21"/>
      <c r="AAK109" s="21"/>
      <c r="AAL109" s="21"/>
      <c r="AAM109" s="21"/>
      <c r="AAN109" s="21"/>
      <c r="AAO109" s="21"/>
      <c r="AAP109" s="21"/>
      <c r="AAQ109" s="21"/>
      <c r="AAR109" s="21"/>
      <c r="AAS109" s="21"/>
      <c r="AAT109" s="21"/>
      <c r="AAU109" s="21"/>
      <c r="AAV109" s="21"/>
      <c r="AAW109" s="21"/>
      <c r="AAX109" s="21"/>
      <c r="AAY109" s="21"/>
      <c r="AAZ109" s="21"/>
      <c r="ABA109" s="21"/>
      <c r="ABB109" s="21"/>
      <c r="ABC109" s="21"/>
      <c r="ABD109" s="21"/>
      <c r="ABE109" s="21"/>
      <c r="ABF109" s="21"/>
      <c r="ABG109" s="21"/>
      <c r="ABH109" s="21"/>
      <c r="ABI109" s="21"/>
      <c r="ABJ109" s="21"/>
      <c r="ABK109" s="21"/>
      <c r="ABL109" s="21"/>
      <c r="ABM109" s="21"/>
      <c r="ABN109" s="21"/>
      <c r="ABO109" s="21"/>
      <c r="ABP109" s="21"/>
      <c r="ABQ109" s="21"/>
      <c r="ABR109" s="21"/>
      <c r="ABS109" s="21"/>
      <c r="ABT109" s="21"/>
      <c r="ABU109" s="21"/>
      <c r="ABV109" s="21"/>
      <c r="ABW109" s="21"/>
      <c r="ABX109" s="21"/>
      <c r="ABY109" s="21"/>
      <c r="ABZ109" s="21"/>
      <c r="ACA109" s="21"/>
      <c r="ACB109" s="21"/>
      <c r="ACC109" s="21"/>
      <c r="ACD109" s="21"/>
      <c r="ACE109" s="21"/>
      <c r="ACF109" s="21"/>
      <c r="ACG109" s="21"/>
      <c r="ACH109" s="21"/>
      <c r="ACI109" s="21"/>
      <c r="ACJ109" s="21"/>
      <c r="ACK109" s="21"/>
      <c r="ACL109" s="21"/>
      <c r="ACM109" s="21"/>
      <c r="ACN109" s="21"/>
      <c r="ACO109" s="21"/>
      <c r="ACP109" s="21"/>
      <c r="ACQ109" s="21"/>
      <c r="ACR109" s="21"/>
      <c r="ACS109" s="21"/>
      <c r="ACT109" s="21"/>
      <c r="ACU109" s="21"/>
      <c r="ACV109" s="21"/>
      <c r="ACW109" s="21"/>
      <c r="ACX109" s="21"/>
      <c r="ACY109" s="21"/>
      <c r="ACZ109" s="21"/>
      <c r="ADA109" s="21"/>
      <c r="ADB109" s="21"/>
      <c r="ADC109" s="21"/>
      <c r="ADD109" s="21"/>
      <c r="ADE109" s="21"/>
      <c r="ADF109" s="21"/>
      <c r="ADG109" s="21"/>
      <c r="ADH109" s="21"/>
      <c r="ADI109" s="21"/>
      <c r="ADJ109" s="21"/>
      <c r="ADK109" s="21"/>
      <c r="ADL109" s="21"/>
      <c r="ADM109" s="21"/>
      <c r="ADN109" s="21"/>
      <c r="ADO109" s="21"/>
      <c r="ADP109" s="21"/>
      <c r="ADQ109" s="21"/>
      <c r="ADR109" s="21"/>
      <c r="ADS109" s="21"/>
      <c r="ADT109" s="21"/>
      <c r="ADU109" s="21"/>
      <c r="ADV109" s="21"/>
      <c r="ADW109" s="21"/>
      <c r="ADX109" s="21"/>
      <c r="ADY109" s="21"/>
      <c r="ADZ109" s="21"/>
      <c r="AEA109" s="21"/>
      <c r="AEB109" s="21"/>
      <c r="AEC109" s="21"/>
      <c r="AED109" s="21"/>
      <c r="AEE109" s="21"/>
      <c r="AEF109" s="21"/>
      <c r="AEG109" s="21"/>
    </row>
    <row r="110" spans="1:813" s="93" customFormat="1" ht="90" x14ac:dyDescent="0.25">
      <c r="A110" s="179">
        <v>43</v>
      </c>
      <c r="B110" s="183" t="s">
        <v>235</v>
      </c>
      <c r="C110" s="80" t="s">
        <v>234</v>
      </c>
      <c r="D110" s="63" t="s">
        <v>233</v>
      </c>
      <c r="E110" s="36" t="s">
        <v>232</v>
      </c>
      <c r="F110" s="170">
        <v>14.3</v>
      </c>
      <c r="G110" s="170">
        <f>40/2</f>
        <v>20</v>
      </c>
      <c r="H110" s="170">
        <f t="shared" si="32"/>
        <v>290</v>
      </c>
      <c r="I110" s="170">
        <f>73/2</f>
        <v>36.5</v>
      </c>
      <c r="J110" s="170">
        <f t="shared" si="22"/>
        <v>520</v>
      </c>
      <c r="K110" s="170">
        <f>33/2</f>
        <v>16.5</v>
      </c>
      <c r="L110" s="170">
        <f t="shared" si="23"/>
        <v>240</v>
      </c>
      <c r="M110" s="170">
        <f>75/2</f>
        <v>37.5</v>
      </c>
      <c r="N110" s="170">
        <f t="shared" si="33"/>
        <v>540</v>
      </c>
      <c r="O110" s="170">
        <f>26/2</f>
        <v>13</v>
      </c>
      <c r="P110" s="170">
        <f t="shared" si="24"/>
        <v>190</v>
      </c>
      <c r="Q110" s="170">
        <f>37/2</f>
        <v>18.5</v>
      </c>
      <c r="R110" s="170">
        <f t="shared" si="36"/>
        <v>260</v>
      </c>
      <c r="S110" s="170">
        <f>23/2</f>
        <v>11.5</v>
      </c>
      <c r="T110" s="170">
        <f t="shared" si="34"/>
        <v>160</v>
      </c>
      <c r="U110" s="170">
        <f>4/2</f>
        <v>2</v>
      </c>
      <c r="V110" s="170">
        <f t="shared" si="26"/>
        <v>30</v>
      </c>
      <c r="W110" s="170">
        <f>29/2</f>
        <v>14.5</v>
      </c>
      <c r="X110" s="170">
        <f t="shared" si="27"/>
        <v>210</v>
      </c>
      <c r="Y110" s="170">
        <f>29/2</f>
        <v>14.5</v>
      </c>
      <c r="Z110" s="170">
        <f t="shared" si="28"/>
        <v>210</v>
      </c>
      <c r="AA110" s="170">
        <f>22/2</f>
        <v>11</v>
      </c>
      <c r="AB110" s="170">
        <f t="shared" si="29"/>
        <v>160</v>
      </c>
      <c r="AC110" s="170">
        <f>26/2</f>
        <v>13</v>
      </c>
      <c r="AD110" s="170">
        <f t="shared" si="30"/>
        <v>190</v>
      </c>
      <c r="AE110" s="170"/>
      <c r="AF110" s="170">
        <f t="shared" si="31"/>
        <v>3000</v>
      </c>
      <c r="AG110" s="211">
        <v>6.38</v>
      </c>
      <c r="AH110" s="211">
        <f>417/2</f>
        <v>208.5</v>
      </c>
      <c r="AI110" s="175">
        <f t="shared" si="35"/>
        <v>1330</v>
      </c>
      <c r="AJ110" s="214">
        <v>271268.26158864168</v>
      </c>
      <c r="AK110" s="214">
        <v>22096.635031934271</v>
      </c>
      <c r="AL110" s="214">
        <v>293364.89662057592</v>
      </c>
      <c r="AM110" s="213" t="s">
        <v>18</v>
      </c>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c r="FL110" s="21"/>
      <c r="FM110" s="21"/>
      <c r="FN110" s="21"/>
      <c r="FO110" s="21"/>
      <c r="FP110" s="21"/>
      <c r="FQ110" s="21"/>
      <c r="FR110" s="21"/>
      <c r="FS110" s="21"/>
      <c r="FT110" s="21"/>
      <c r="FU110" s="21"/>
      <c r="FV110" s="21"/>
      <c r="FW110" s="21"/>
      <c r="FX110" s="21"/>
      <c r="FY110" s="21"/>
      <c r="FZ110" s="21"/>
      <c r="GA110" s="21"/>
      <c r="GB110" s="21"/>
      <c r="GC110" s="21"/>
      <c r="GD110" s="21"/>
      <c r="GE110" s="21"/>
      <c r="GF110" s="21"/>
      <c r="GG110" s="21"/>
      <c r="GH110" s="21"/>
      <c r="GI110" s="21"/>
      <c r="GJ110" s="21"/>
      <c r="GK110" s="21"/>
      <c r="GL110" s="21"/>
      <c r="GM110" s="21"/>
      <c r="GN110" s="21"/>
      <c r="GO110" s="21"/>
      <c r="GP110" s="21"/>
      <c r="GQ110" s="21"/>
      <c r="GR110" s="21"/>
      <c r="GS110" s="21"/>
      <c r="GT110" s="21"/>
      <c r="GU110" s="21"/>
      <c r="GV110" s="21"/>
      <c r="GW110" s="21"/>
      <c r="GX110" s="21"/>
      <c r="GY110" s="21"/>
      <c r="GZ110" s="21"/>
      <c r="HA110" s="21"/>
      <c r="HB110" s="21"/>
      <c r="HC110" s="21"/>
      <c r="HD110" s="21"/>
      <c r="HE110" s="21"/>
      <c r="HF110" s="21"/>
      <c r="HG110" s="21"/>
      <c r="HH110" s="21"/>
      <c r="HI110" s="21"/>
      <c r="HJ110" s="21"/>
      <c r="HK110" s="21"/>
      <c r="HL110" s="21"/>
      <c r="HM110" s="21"/>
      <c r="HN110" s="21"/>
      <c r="HO110" s="21"/>
      <c r="HP110" s="21"/>
      <c r="HQ110" s="21"/>
      <c r="HR110" s="21"/>
      <c r="HS110" s="21"/>
      <c r="HT110" s="21"/>
      <c r="HU110" s="21"/>
      <c r="HV110" s="21"/>
      <c r="HW110" s="21"/>
      <c r="HX110" s="21"/>
      <c r="HY110" s="21"/>
      <c r="HZ110" s="21"/>
      <c r="IA110" s="21"/>
      <c r="IB110" s="21"/>
      <c r="IC110" s="21"/>
      <c r="ID110" s="21"/>
      <c r="IE110" s="21"/>
      <c r="IF110" s="21"/>
      <c r="IG110" s="21"/>
      <c r="IH110" s="21"/>
      <c r="II110" s="21"/>
      <c r="IJ110" s="21"/>
      <c r="IK110" s="21"/>
      <c r="IL110" s="21"/>
      <c r="IM110" s="21"/>
      <c r="IN110" s="21"/>
      <c r="IO110" s="21"/>
      <c r="IP110" s="21"/>
      <c r="IQ110" s="21"/>
      <c r="IR110" s="21"/>
      <c r="IS110" s="21"/>
      <c r="IT110" s="21"/>
      <c r="IU110" s="21"/>
      <c r="IV110" s="21"/>
      <c r="IW110" s="21"/>
      <c r="IX110" s="21"/>
      <c r="IY110" s="21"/>
      <c r="IZ110" s="21"/>
      <c r="JA110" s="21"/>
      <c r="JB110" s="21"/>
      <c r="JC110" s="21"/>
      <c r="JD110" s="21"/>
      <c r="JE110" s="21"/>
      <c r="JF110" s="21"/>
      <c r="JG110" s="21"/>
      <c r="JH110" s="21"/>
      <c r="JI110" s="21"/>
      <c r="JJ110" s="21"/>
      <c r="JK110" s="21"/>
      <c r="JL110" s="21"/>
      <c r="JM110" s="21"/>
      <c r="JN110" s="21"/>
      <c r="JO110" s="21"/>
      <c r="JP110" s="21"/>
      <c r="JQ110" s="21"/>
      <c r="JR110" s="21"/>
      <c r="JS110" s="21"/>
      <c r="JT110" s="21"/>
      <c r="JU110" s="21"/>
      <c r="JV110" s="21"/>
      <c r="JW110" s="21"/>
      <c r="JX110" s="21"/>
      <c r="JY110" s="21"/>
      <c r="JZ110" s="21"/>
      <c r="KA110" s="21"/>
      <c r="KB110" s="21"/>
      <c r="KC110" s="21"/>
      <c r="KD110" s="21"/>
      <c r="KE110" s="21"/>
      <c r="KF110" s="21"/>
      <c r="KG110" s="21"/>
      <c r="KH110" s="21"/>
      <c r="KI110" s="21"/>
      <c r="KJ110" s="21"/>
      <c r="KK110" s="21"/>
      <c r="KL110" s="21"/>
      <c r="KM110" s="21"/>
      <c r="KN110" s="21"/>
      <c r="KO110" s="21"/>
      <c r="KP110" s="21"/>
      <c r="KQ110" s="21"/>
      <c r="KR110" s="21"/>
      <c r="KS110" s="21"/>
      <c r="KT110" s="21"/>
      <c r="KU110" s="21"/>
      <c r="KV110" s="21"/>
      <c r="KW110" s="21"/>
      <c r="KX110" s="21"/>
      <c r="KY110" s="21"/>
      <c r="KZ110" s="21"/>
      <c r="LA110" s="21"/>
      <c r="LB110" s="21"/>
      <c r="LC110" s="21"/>
      <c r="LD110" s="21"/>
      <c r="LE110" s="21"/>
      <c r="LF110" s="21"/>
      <c r="LG110" s="21"/>
      <c r="LH110" s="21"/>
      <c r="LI110" s="21"/>
      <c r="LJ110" s="21"/>
      <c r="LK110" s="21"/>
      <c r="LL110" s="21"/>
      <c r="LM110" s="21"/>
      <c r="LN110" s="21"/>
      <c r="LO110" s="21"/>
      <c r="LP110" s="21"/>
      <c r="LQ110" s="21"/>
      <c r="LR110" s="21"/>
      <c r="LS110" s="21"/>
      <c r="LT110" s="21"/>
      <c r="LU110" s="21"/>
      <c r="LV110" s="21"/>
      <c r="LW110" s="21"/>
      <c r="LX110" s="21"/>
      <c r="LY110" s="21"/>
      <c r="LZ110" s="21"/>
      <c r="MA110" s="21"/>
      <c r="MB110" s="21"/>
      <c r="MC110" s="21"/>
      <c r="MD110" s="21"/>
      <c r="ME110" s="21"/>
      <c r="MF110" s="21"/>
      <c r="MG110" s="21"/>
      <c r="MH110" s="21"/>
      <c r="MI110" s="21"/>
      <c r="MJ110" s="21"/>
      <c r="MK110" s="21"/>
      <c r="ML110" s="21"/>
      <c r="MM110" s="21"/>
      <c r="MN110" s="21"/>
      <c r="MO110" s="21"/>
      <c r="MP110" s="21"/>
      <c r="MQ110" s="21"/>
      <c r="MR110" s="21"/>
      <c r="MS110" s="21"/>
      <c r="MT110" s="21"/>
      <c r="MU110" s="21"/>
      <c r="MV110" s="21"/>
      <c r="MW110" s="21"/>
      <c r="MX110" s="21"/>
      <c r="MY110" s="21"/>
      <c r="MZ110" s="21"/>
      <c r="NA110" s="21"/>
      <c r="NB110" s="21"/>
      <c r="NC110" s="21"/>
      <c r="ND110" s="21"/>
      <c r="NE110" s="21"/>
      <c r="NF110" s="21"/>
      <c r="NG110" s="21"/>
      <c r="NH110" s="21"/>
      <c r="NI110" s="21"/>
      <c r="NJ110" s="21"/>
      <c r="NK110" s="21"/>
      <c r="NL110" s="21"/>
      <c r="NM110" s="21"/>
      <c r="NN110" s="21"/>
      <c r="NO110" s="21"/>
      <c r="NP110" s="21"/>
      <c r="NQ110" s="21"/>
      <c r="NR110" s="21"/>
      <c r="NS110" s="21"/>
      <c r="NT110" s="21"/>
      <c r="NU110" s="21"/>
      <c r="NV110" s="21"/>
      <c r="NW110" s="21"/>
      <c r="NX110" s="21"/>
      <c r="NY110" s="21"/>
      <c r="NZ110" s="21"/>
      <c r="OA110" s="21"/>
      <c r="OB110" s="21"/>
      <c r="OC110" s="21"/>
      <c r="OD110" s="21"/>
      <c r="OE110" s="21"/>
      <c r="OF110" s="21"/>
      <c r="OG110" s="21"/>
      <c r="OH110" s="21"/>
      <c r="OI110" s="21"/>
      <c r="OJ110" s="21"/>
      <c r="OK110" s="21"/>
      <c r="OL110" s="21"/>
      <c r="OM110" s="21"/>
      <c r="ON110" s="21"/>
      <c r="OO110" s="21"/>
      <c r="OP110" s="21"/>
      <c r="OQ110" s="21"/>
      <c r="OR110" s="21"/>
      <c r="OS110" s="21"/>
      <c r="OT110" s="21"/>
      <c r="OU110" s="21"/>
      <c r="OV110" s="21"/>
      <c r="OW110" s="21"/>
      <c r="OX110" s="21"/>
      <c r="OY110" s="21"/>
      <c r="OZ110" s="21"/>
      <c r="PA110" s="21"/>
      <c r="PB110" s="21"/>
      <c r="PC110" s="21"/>
      <c r="PD110" s="21"/>
      <c r="PE110" s="21"/>
      <c r="PF110" s="21"/>
      <c r="PG110" s="21"/>
      <c r="PH110" s="21"/>
      <c r="PI110" s="21"/>
      <c r="PJ110" s="21"/>
      <c r="PK110" s="21"/>
      <c r="PL110" s="21"/>
      <c r="PM110" s="21"/>
      <c r="PN110" s="21"/>
      <c r="PO110" s="21"/>
      <c r="PP110" s="21"/>
      <c r="PQ110" s="21"/>
      <c r="PR110" s="21"/>
      <c r="PS110" s="21"/>
      <c r="PT110" s="21"/>
      <c r="PU110" s="21"/>
      <c r="PV110" s="21"/>
      <c r="PW110" s="21"/>
      <c r="PX110" s="21"/>
      <c r="PY110" s="21"/>
      <c r="PZ110" s="21"/>
      <c r="QA110" s="21"/>
      <c r="QB110" s="21"/>
      <c r="QC110" s="21"/>
      <c r="QD110" s="21"/>
      <c r="QE110" s="21"/>
      <c r="QF110" s="21"/>
      <c r="QG110" s="21"/>
      <c r="QH110" s="21"/>
      <c r="QI110" s="21"/>
      <c r="QJ110" s="21"/>
      <c r="QK110" s="21"/>
      <c r="QL110" s="21"/>
      <c r="QM110" s="21"/>
      <c r="QN110" s="21"/>
      <c r="QO110" s="21"/>
      <c r="QP110" s="21"/>
      <c r="QQ110" s="21"/>
      <c r="QR110" s="21"/>
      <c r="QS110" s="21"/>
      <c r="QT110" s="21"/>
      <c r="QU110" s="21"/>
      <c r="QV110" s="21"/>
      <c r="QW110" s="21"/>
      <c r="QX110" s="21"/>
      <c r="QY110" s="21"/>
      <c r="QZ110" s="21"/>
      <c r="RA110" s="21"/>
      <c r="RB110" s="21"/>
      <c r="RC110" s="21"/>
      <c r="RD110" s="21"/>
      <c r="RE110" s="21"/>
      <c r="RF110" s="21"/>
      <c r="RG110" s="21"/>
      <c r="RH110" s="21"/>
      <c r="RI110" s="21"/>
      <c r="RJ110" s="21"/>
      <c r="RK110" s="21"/>
      <c r="RL110" s="21"/>
      <c r="RM110" s="21"/>
      <c r="RN110" s="21"/>
      <c r="RO110" s="21"/>
      <c r="RP110" s="21"/>
      <c r="RQ110" s="21"/>
      <c r="RR110" s="21"/>
      <c r="RS110" s="21"/>
      <c r="RT110" s="21"/>
      <c r="RU110" s="21"/>
      <c r="RV110" s="21"/>
      <c r="RW110" s="21"/>
      <c r="RX110" s="21"/>
      <c r="RY110" s="21"/>
      <c r="RZ110" s="21"/>
      <c r="SA110" s="21"/>
      <c r="SB110" s="21"/>
      <c r="SC110" s="21"/>
      <c r="SD110" s="21"/>
      <c r="SE110" s="21"/>
      <c r="SF110" s="21"/>
      <c r="SG110" s="21"/>
      <c r="SH110" s="21"/>
      <c r="SI110" s="21"/>
      <c r="SJ110" s="21"/>
      <c r="SK110" s="21"/>
      <c r="SL110" s="21"/>
      <c r="SM110" s="21"/>
      <c r="SN110" s="21"/>
      <c r="SO110" s="21"/>
      <c r="SP110" s="21"/>
      <c r="SQ110" s="21"/>
      <c r="SR110" s="21"/>
      <c r="SS110" s="21"/>
      <c r="ST110" s="21"/>
      <c r="SU110" s="21"/>
      <c r="SV110" s="21"/>
      <c r="SW110" s="21"/>
      <c r="SX110" s="21"/>
      <c r="SY110" s="21"/>
      <c r="SZ110" s="21"/>
      <c r="TA110" s="21"/>
      <c r="TB110" s="21"/>
      <c r="TC110" s="21"/>
      <c r="TD110" s="21"/>
      <c r="TE110" s="21"/>
      <c r="TF110" s="21"/>
      <c r="TG110" s="21"/>
      <c r="TH110" s="21"/>
      <c r="TI110" s="21"/>
      <c r="TJ110" s="21"/>
      <c r="TK110" s="21"/>
      <c r="TL110" s="21"/>
      <c r="TM110" s="21"/>
      <c r="TN110" s="21"/>
      <c r="TO110" s="21"/>
      <c r="TP110" s="21"/>
      <c r="TQ110" s="21"/>
      <c r="TR110" s="21"/>
      <c r="TS110" s="21"/>
      <c r="TT110" s="21"/>
      <c r="TU110" s="21"/>
      <c r="TV110" s="21"/>
      <c r="TW110" s="21"/>
      <c r="TX110" s="21"/>
      <c r="TY110" s="21"/>
      <c r="TZ110" s="21"/>
      <c r="UA110" s="21"/>
      <c r="UB110" s="21"/>
      <c r="UC110" s="21"/>
      <c r="UD110" s="21"/>
      <c r="UE110" s="21"/>
      <c r="UF110" s="21"/>
      <c r="UG110" s="21"/>
      <c r="UH110" s="21"/>
      <c r="UI110" s="21"/>
      <c r="UJ110" s="21"/>
      <c r="UK110" s="21"/>
      <c r="UL110" s="21"/>
      <c r="UM110" s="21"/>
      <c r="UN110" s="21"/>
      <c r="UO110" s="21"/>
      <c r="UP110" s="21"/>
      <c r="UQ110" s="21"/>
      <c r="UR110" s="21"/>
      <c r="US110" s="21"/>
      <c r="UT110" s="21"/>
      <c r="UU110" s="21"/>
      <c r="UV110" s="21"/>
      <c r="UW110" s="21"/>
      <c r="UX110" s="21"/>
      <c r="UY110" s="21"/>
      <c r="UZ110" s="21"/>
      <c r="VA110" s="21"/>
      <c r="VB110" s="21"/>
      <c r="VC110" s="21"/>
      <c r="VD110" s="21"/>
      <c r="VE110" s="21"/>
      <c r="VF110" s="21"/>
      <c r="VG110" s="21"/>
      <c r="VH110" s="21"/>
      <c r="VI110" s="21"/>
      <c r="VJ110" s="21"/>
      <c r="VK110" s="21"/>
      <c r="VL110" s="21"/>
      <c r="VM110" s="21"/>
      <c r="VN110" s="21"/>
      <c r="VO110" s="21"/>
      <c r="VP110" s="21"/>
      <c r="VQ110" s="21"/>
      <c r="VR110" s="21"/>
      <c r="VS110" s="21"/>
      <c r="VT110" s="21"/>
      <c r="VU110" s="21"/>
      <c r="VV110" s="21"/>
      <c r="VW110" s="21"/>
      <c r="VX110" s="21"/>
      <c r="VY110" s="21"/>
      <c r="VZ110" s="21"/>
      <c r="WA110" s="21"/>
      <c r="WB110" s="21"/>
      <c r="WC110" s="21"/>
      <c r="WD110" s="21"/>
      <c r="WE110" s="21"/>
      <c r="WF110" s="21"/>
      <c r="WG110" s="21"/>
      <c r="WH110" s="21"/>
      <c r="WI110" s="21"/>
      <c r="WJ110" s="21"/>
      <c r="WK110" s="21"/>
      <c r="WL110" s="21"/>
      <c r="WM110" s="21"/>
      <c r="WN110" s="21"/>
      <c r="WO110" s="21"/>
      <c r="WP110" s="21"/>
      <c r="WQ110" s="21"/>
      <c r="WR110" s="21"/>
      <c r="WS110" s="21"/>
      <c r="WT110" s="21"/>
      <c r="WU110" s="21"/>
      <c r="WV110" s="21"/>
      <c r="WW110" s="21"/>
      <c r="WX110" s="21"/>
      <c r="WY110" s="21"/>
      <c r="WZ110" s="21"/>
      <c r="XA110" s="21"/>
      <c r="XB110" s="21"/>
      <c r="XC110" s="21"/>
      <c r="XD110" s="21"/>
      <c r="XE110" s="21"/>
      <c r="XF110" s="21"/>
      <c r="XG110" s="21"/>
      <c r="XH110" s="21"/>
      <c r="XI110" s="21"/>
      <c r="XJ110" s="21"/>
      <c r="XK110" s="21"/>
      <c r="XL110" s="21"/>
      <c r="XM110" s="21"/>
      <c r="XN110" s="21"/>
      <c r="XO110" s="21"/>
      <c r="XP110" s="21"/>
      <c r="XQ110" s="21"/>
      <c r="XR110" s="21"/>
      <c r="XS110" s="21"/>
      <c r="XT110" s="21"/>
      <c r="XU110" s="21"/>
      <c r="XV110" s="21"/>
      <c r="XW110" s="21"/>
      <c r="XX110" s="21"/>
      <c r="XY110" s="21"/>
      <c r="XZ110" s="21"/>
      <c r="YA110" s="21"/>
      <c r="YB110" s="21"/>
      <c r="YC110" s="21"/>
      <c r="YD110" s="21"/>
      <c r="YE110" s="21"/>
      <c r="YF110" s="21"/>
      <c r="YG110" s="21"/>
      <c r="YH110" s="21"/>
      <c r="YI110" s="21"/>
      <c r="YJ110" s="21"/>
      <c r="YK110" s="21"/>
      <c r="YL110" s="21"/>
      <c r="YM110" s="21"/>
      <c r="YN110" s="21"/>
      <c r="YO110" s="21"/>
      <c r="YP110" s="21"/>
      <c r="YQ110" s="21"/>
      <c r="YR110" s="21"/>
      <c r="YS110" s="21"/>
      <c r="YT110" s="21"/>
      <c r="YU110" s="21"/>
      <c r="YV110" s="21"/>
      <c r="YW110" s="21"/>
      <c r="YX110" s="21"/>
      <c r="YY110" s="21"/>
      <c r="YZ110" s="21"/>
      <c r="ZA110" s="21"/>
      <c r="ZB110" s="21"/>
      <c r="ZC110" s="21"/>
      <c r="ZD110" s="21"/>
      <c r="ZE110" s="21"/>
      <c r="ZF110" s="21"/>
      <c r="ZG110" s="21"/>
      <c r="ZH110" s="21"/>
      <c r="ZI110" s="21"/>
      <c r="ZJ110" s="21"/>
      <c r="ZK110" s="21"/>
      <c r="ZL110" s="21"/>
      <c r="ZM110" s="21"/>
      <c r="ZN110" s="21"/>
      <c r="ZO110" s="21"/>
      <c r="ZP110" s="21"/>
      <c r="ZQ110" s="21"/>
      <c r="ZR110" s="21"/>
      <c r="ZS110" s="21"/>
      <c r="ZT110" s="21"/>
      <c r="ZU110" s="21"/>
      <c r="ZV110" s="21"/>
      <c r="ZW110" s="21"/>
      <c r="ZX110" s="21"/>
      <c r="ZY110" s="21"/>
      <c r="ZZ110" s="21"/>
      <c r="AAA110" s="21"/>
      <c r="AAB110" s="21"/>
      <c r="AAC110" s="21"/>
      <c r="AAD110" s="21"/>
      <c r="AAE110" s="21"/>
      <c r="AAF110" s="21"/>
      <c r="AAG110" s="21"/>
      <c r="AAH110" s="21"/>
      <c r="AAI110" s="21"/>
      <c r="AAJ110" s="21"/>
      <c r="AAK110" s="21"/>
      <c r="AAL110" s="21"/>
      <c r="AAM110" s="21"/>
      <c r="AAN110" s="21"/>
      <c r="AAO110" s="21"/>
      <c r="AAP110" s="21"/>
      <c r="AAQ110" s="21"/>
      <c r="AAR110" s="21"/>
      <c r="AAS110" s="21"/>
      <c r="AAT110" s="21"/>
      <c r="AAU110" s="21"/>
      <c r="AAV110" s="21"/>
      <c r="AAW110" s="21"/>
      <c r="AAX110" s="21"/>
      <c r="AAY110" s="21"/>
      <c r="AAZ110" s="21"/>
      <c r="ABA110" s="21"/>
      <c r="ABB110" s="21"/>
      <c r="ABC110" s="21"/>
      <c r="ABD110" s="21"/>
      <c r="ABE110" s="21"/>
      <c r="ABF110" s="21"/>
      <c r="ABG110" s="21"/>
      <c r="ABH110" s="21"/>
      <c r="ABI110" s="21"/>
      <c r="ABJ110" s="21"/>
      <c r="ABK110" s="21"/>
      <c r="ABL110" s="21"/>
      <c r="ABM110" s="21"/>
      <c r="ABN110" s="21"/>
      <c r="ABO110" s="21"/>
      <c r="ABP110" s="21"/>
      <c r="ABQ110" s="21"/>
      <c r="ABR110" s="21"/>
      <c r="ABS110" s="21"/>
      <c r="ABT110" s="21"/>
      <c r="ABU110" s="21"/>
      <c r="ABV110" s="21"/>
      <c r="ABW110" s="21"/>
      <c r="ABX110" s="21"/>
      <c r="ABY110" s="21"/>
      <c r="ABZ110" s="21"/>
      <c r="ACA110" s="21"/>
      <c r="ACB110" s="21"/>
      <c r="ACC110" s="21"/>
      <c r="ACD110" s="21"/>
      <c r="ACE110" s="21"/>
      <c r="ACF110" s="21"/>
      <c r="ACG110" s="21"/>
      <c r="ACH110" s="21"/>
      <c r="ACI110" s="21"/>
      <c r="ACJ110" s="21"/>
      <c r="ACK110" s="21"/>
      <c r="ACL110" s="21"/>
      <c r="ACM110" s="21"/>
      <c r="ACN110" s="21"/>
      <c r="ACO110" s="21"/>
      <c r="ACP110" s="21"/>
      <c r="ACQ110" s="21"/>
      <c r="ACR110" s="21"/>
      <c r="ACS110" s="21"/>
      <c r="ACT110" s="21"/>
      <c r="ACU110" s="21"/>
      <c r="ACV110" s="21"/>
      <c r="ACW110" s="21"/>
      <c r="ACX110" s="21"/>
      <c r="ACY110" s="21"/>
      <c r="ACZ110" s="21"/>
      <c r="ADA110" s="21"/>
      <c r="ADB110" s="21"/>
      <c r="ADC110" s="21"/>
      <c r="ADD110" s="21"/>
      <c r="ADE110" s="21"/>
      <c r="ADF110" s="21"/>
      <c r="ADG110" s="21"/>
      <c r="ADH110" s="21"/>
      <c r="ADI110" s="21"/>
      <c r="ADJ110" s="21"/>
      <c r="ADK110" s="21"/>
      <c r="ADL110" s="21"/>
      <c r="ADM110" s="21"/>
      <c r="ADN110" s="21"/>
      <c r="ADO110" s="21"/>
      <c r="ADP110" s="21"/>
      <c r="ADQ110" s="21"/>
      <c r="ADR110" s="21"/>
      <c r="ADS110" s="21"/>
      <c r="ADT110" s="21"/>
      <c r="ADU110" s="21"/>
      <c r="ADV110" s="21"/>
      <c r="ADW110" s="21"/>
      <c r="ADX110" s="21"/>
      <c r="ADY110" s="21"/>
      <c r="ADZ110" s="21"/>
      <c r="AEA110" s="21"/>
      <c r="AEB110" s="21"/>
      <c r="AEC110" s="21"/>
      <c r="AED110" s="21"/>
      <c r="AEE110" s="21"/>
      <c r="AEF110" s="21"/>
      <c r="AEG110" s="21"/>
    </row>
    <row r="111" spans="1:813" s="93" customFormat="1" ht="90" x14ac:dyDescent="0.25">
      <c r="A111" s="179"/>
      <c r="B111" s="183"/>
      <c r="C111" s="80" t="s">
        <v>231</v>
      </c>
      <c r="D111" s="63" t="s">
        <v>230</v>
      </c>
      <c r="E111" s="36" t="s">
        <v>229</v>
      </c>
      <c r="F111" s="178"/>
      <c r="G111" s="178"/>
      <c r="H111" s="178"/>
      <c r="I111" s="178"/>
      <c r="J111" s="178">
        <f t="shared" si="22"/>
        <v>0</v>
      </c>
      <c r="K111" s="178"/>
      <c r="L111" s="178">
        <f t="shared" si="23"/>
        <v>0</v>
      </c>
      <c r="M111" s="178"/>
      <c r="N111" s="178">
        <f t="shared" si="33"/>
        <v>0</v>
      </c>
      <c r="O111" s="178"/>
      <c r="P111" s="178">
        <f t="shared" si="24"/>
        <v>0</v>
      </c>
      <c r="Q111" s="178"/>
      <c r="R111" s="178">
        <f t="shared" si="36"/>
        <v>0</v>
      </c>
      <c r="S111" s="178"/>
      <c r="T111" s="178">
        <f t="shared" si="34"/>
        <v>0</v>
      </c>
      <c r="U111" s="178"/>
      <c r="V111" s="178">
        <f t="shared" si="26"/>
        <v>0</v>
      </c>
      <c r="W111" s="178"/>
      <c r="X111" s="178">
        <f t="shared" si="27"/>
        <v>0</v>
      </c>
      <c r="Y111" s="178"/>
      <c r="Z111" s="178">
        <f t="shared" si="28"/>
        <v>0</v>
      </c>
      <c r="AA111" s="178"/>
      <c r="AB111" s="178">
        <f t="shared" si="29"/>
        <v>0</v>
      </c>
      <c r="AC111" s="178"/>
      <c r="AD111" s="178">
        <f t="shared" si="30"/>
        <v>0</v>
      </c>
      <c r="AE111" s="178"/>
      <c r="AF111" s="178">
        <f t="shared" si="31"/>
        <v>0</v>
      </c>
      <c r="AG111" s="215"/>
      <c r="AH111" s="215"/>
      <c r="AI111" s="175"/>
      <c r="AJ111" s="214"/>
      <c r="AK111" s="214"/>
      <c r="AL111" s="214"/>
      <c r="AM111" s="213"/>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c r="FL111" s="21"/>
      <c r="FM111" s="21"/>
      <c r="FN111" s="21"/>
      <c r="FO111" s="21"/>
      <c r="FP111" s="21"/>
      <c r="FQ111" s="21"/>
      <c r="FR111" s="21"/>
      <c r="FS111" s="21"/>
      <c r="FT111" s="21"/>
      <c r="FU111" s="21"/>
      <c r="FV111" s="21"/>
      <c r="FW111" s="21"/>
      <c r="FX111" s="21"/>
      <c r="FY111" s="21"/>
      <c r="FZ111" s="21"/>
      <c r="GA111" s="21"/>
      <c r="GB111" s="21"/>
      <c r="GC111" s="21"/>
      <c r="GD111" s="21"/>
      <c r="GE111" s="21"/>
      <c r="GF111" s="21"/>
      <c r="GG111" s="21"/>
      <c r="GH111" s="21"/>
      <c r="GI111" s="21"/>
      <c r="GJ111" s="21"/>
      <c r="GK111" s="21"/>
      <c r="GL111" s="21"/>
      <c r="GM111" s="21"/>
      <c r="GN111" s="21"/>
      <c r="GO111" s="21"/>
      <c r="GP111" s="21"/>
      <c r="GQ111" s="21"/>
      <c r="GR111" s="21"/>
      <c r="GS111" s="21"/>
      <c r="GT111" s="21"/>
      <c r="GU111" s="21"/>
      <c r="GV111" s="21"/>
      <c r="GW111" s="21"/>
      <c r="GX111" s="21"/>
      <c r="GY111" s="21"/>
      <c r="GZ111" s="21"/>
      <c r="HA111" s="21"/>
      <c r="HB111" s="21"/>
      <c r="HC111" s="21"/>
      <c r="HD111" s="21"/>
      <c r="HE111" s="21"/>
      <c r="HF111" s="21"/>
      <c r="HG111" s="21"/>
      <c r="HH111" s="21"/>
      <c r="HI111" s="21"/>
      <c r="HJ111" s="21"/>
      <c r="HK111" s="21"/>
      <c r="HL111" s="21"/>
      <c r="HM111" s="21"/>
      <c r="HN111" s="21"/>
      <c r="HO111" s="21"/>
      <c r="HP111" s="21"/>
      <c r="HQ111" s="21"/>
      <c r="HR111" s="21"/>
      <c r="HS111" s="21"/>
      <c r="HT111" s="21"/>
      <c r="HU111" s="21"/>
      <c r="HV111" s="21"/>
      <c r="HW111" s="21"/>
      <c r="HX111" s="21"/>
      <c r="HY111" s="21"/>
      <c r="HZ111" s="21"/>
      <c r="IA111" s="21"/>
      <c r="IB111" s="21"/>
      <c r="IC111" s="21"/>
      <c r="ID111" s="21"/>
      <c r="IE111" s="21"/>
      <c r="IF111" s="21"/>
      <c r="IG111" s="21"/>
      <c r="IH111" s="21"/>
      <c r="II111" s="21"/>
      <c r="IJ111" s="21"/>
      <c r="IK111" s="21"/>
      <c r="IL111" s="21"/>
      <c r="IM111" s="21"/>
      <c r="IN111" s="21"/>
      <c r="IO111" s="21"/>
      <c r="IP111" s="21"/>
      <c r="IQ111" s="21"/>
      <c r="IR111" s="21"/>
      <c r="IS111" s="21"/>
      <c r="IT111" s="21"/>
      <c r="IU111" s="21"/>
      <c r="IV111" s="21"/>
      <c r="IW111" s="21"/>
      <c r="IX111" s="21"/>
      <c r="IY111" s="21"/>
      <c r="IZ111" s="21"/>
      <c r="JA111" s="21"/>
      <c r="JB111" s="21"/>
      <c r="JC111" s="21"/>
      <c r="JD111" s="21"/>
      <c r="JE111" s="21"/>
      <c r="JF111" s="21"/>
      <c r="JG111" s="21"/>
      <c r="JH111" s="21"/>
      <c r="JI111" s="21"/>
      <c r="JJ111" s="21"/>
      <c r="JK111" s="21"/>
      <c r="JL111" s="21"/>
      <c r="JM111" s="21"/>
      <c r="JN111" s="21"/>
      <c r="JO111" s="21"/>
      <c r="JP111" s="21"/>
      <c r="JQ111" s="21"/>
      <c r="JR111" s="21"/>
      <c r="JS111" s="21"/>
      <c r="JT111" s="21"/>
      <c r="JU111" s="21"/>
      <c r="JV111" s="21"/>
      <c r="JW111" s="21"/>
      <c r="JX111" s="21"/>
      <c r="JY111" s="21"/>
      <c r="JZ111" s="21"/>
      <c r="KA111" s="21"/>
      <c r="KB111" s="21"/>
      <c r="KC111" s="21"/>
      <c r="KD111" s="21"/>
      <c r="KE111" s="21"/>
      <c r="KF111" s="21"/>
      <c r="KG111" s="21"/>
      <c r="KH111" s="21"/>
      <c r="KI111" s="21"/>
      <c r="KJ111" s="21"/>
      <c r="KK111" s="21"/>
      <c r="KL111" s="21"/>
      <c r="KM111" s="21"/>
      <c r="KN111" s="21"/>
      <c r="KO111" s="21"/>
      <c r="KP111" s="21"/>
      <c r="KQ111" s="21"/>
      <c r="KR111" s="21"/>
      <c r="KS111" s="21"/>
      <c r="KT111" s="21"/>
      <c r="KU111" s="21"/>
      <c r="KV111" s="21"/>
      <c r="KW111" s="21"/>
      <c r="KX111" s="21"/>
      <c r="KY111" s="21"/>
      <c r="KZ111" s="21"/>
      <c r="LA111" s="21"/>
      <c r="LB111" s="21"/>
      <c r="LC111" s="21"/>
      <c r="LD111" s="21"/>
      <c r="LE111" s="21"/>
      <c r="LF111" s="21"/>
      <c r="LG111" s="21"/>
      <c r="LH111" s="21"/>
      <c r="LI111" s="21"/>
      <c r="LJ111" s="21"/>
      <c r="LK111" s="21"/>
      <c r="LL111" s="21"/>
      <c r="LM111" s="21"/>
      <c r="LN111" s="21"/>
      <c r="LO111" s="21"/>
      <c r="LP111" s="21"/>
      <c r="LQ111" s="21"/>
      <c r="LR111" s="21"/>
      <c r="LS111" s="21"/>
      <c r="LT111" s="21"/>
      <c r="LU111" s="21"/>
      <c r="LV111" s="21"/>
      <c r="LW111" s="21"/>
      <c r="LX111" s="21"/>
      <c r="LY111" s="21"/>
      <c r="LZ111" s="21"/>
      <c r="MA111" s="21"/>
      <c r="MB111" s="21"/>
      <c r="MC111" s="21"/>
      <c r="MD111" s="21"/>
      <c r="ME111" s="21"/>
      <c r="MF111" s="21"/>
      <c r="MG111" s="21"/>
      <c r="MH111" s="21"/>
      <c r="MI111" s="21"/>
      <c r="MJ111" s="21"/>
      <c r="MK111" s="21"/>
      <c r="ML111" s="21"/>
      <c r="MM111" s="21"/>
      <c r="MN111" s="21"/>
      <c r="MO111" s="21"/>
      <c r="MP111" s="21"/>
      <c r="MQ111" s="21"/>
      <c r="MR111" s="21"/>
      <c r="MS111" s="21"/>
      <c r="MT111" s="21"/>
      <c r="MU111" s="21"/>
      <c r="MV111" s="21"/>
      <c r="MW111" s="21"/>
      <c r="MX111" s="21"/>
      <c r="MY111" s="21"/>
      <c r="MZ111" s="21"/>
      <c r="NA111" s="21"/>
      <c r="NB111" s="21"/>
      <c r="NC111" s="21"/>
      <c r="ND111" s="21"/>
      <c r="NE111" s="21"/>
      <c r="NF111" s="21"/>
      <c r="NG111" s="21"/>
      <c r="NH111" s="21"/>
      <c r="NI111" s="21"/>
      <c r="NJ111" s="21"/>
      <c r="NK111" s="21"/>
      <c r="NL111" s="21"/>
      <c r="NM111" s="21"/>
      <c r="NN111" s="21"/>
      <c r="NO111" s="21"/>
      <c r="NP111" s="21"/>
      <c r="NQ111" s="21"/>
      <c r="NR111" s="21"/>
      <c r="NS111" s="21"/>
      <c r="NT111" s="21"/>
      <c r="NU111" s="21"/>
      <c r="NV111" s="21"/>
      <c r="NW111" s="21"/>
      <c r="NX111" s="21"/>
      <c r="NY111" s="21"/>
      <c r="NZ111" s="21"/>
      <c r="OA111" s="21"/>
      <c r="OB111" s="21"/>
      <c r="OC111" s="21"/>
      <c r="OD111" s="21"/>
      <c r="OE111" s="21"/>
      <c r="OF111" s="21"/>
      <c r="OG111" s="21"/>
      <c r="OH111" s="21"/>
      <c r="OI111" s="21"/>
      <c r="OJ111" s="21"/>
      <c r="OK111" s="21"/>
      <c r="OL111" s="21"/>
      <c r="OM111" s="21"/>
      <c r="ON111" s="21"/>
      <c r="OO111" s="21"/>
      <c r="OP111" s="21"/>
      <c r="OQ111" s="21"/>
      <c r="OR111" s="21"/>
      <c r="OS111" s="21"/>
      <c r="OT111" s="21"/>
      <c r="OU111" s="21"/>
      <c r="OV111" s="21"/>
      <c r="OW111" s="21"/>
      <c r="OX111" s="21"/>
      <c r="OY111" s="21"/>
      <c r="OZ111" s="21"/>
      <c r="PA111" s="21"/>
      <c r="PB111" s="21"/>
      <c r="PC111" s="21"/>
      <c r="PD111" s="21"/>
      <c r="PE111" s="21"/>
      <c r="PF111" s="21"/>
      <c r="PG111" s="21"/>
      <c r="PH111" s="21"/>
      <c r="PI111" s="21"/>
      <c r="PJ111" s="21"/>
      <c r="PK111" s="21"/>
      <c r="PL111" s="21"/>
      <c r="PM111" s="21"/>
      <c r="PN111" s="21"/>
      <c r="PO111" s="21"/>
      <c r="PP111" s="21"/>
      <c r="PQ111" s="21"/>
      <c r="PR111" s="21"/>
      <c r="PS111" s="21"/>
      <c r="PT111" s="21"/>
      <c r="PU111" s="21"/>
      <c r="PV111" s="21"/>
      <c r="PW111" s="21"/>
      <c r="PX111" s="21"/>
      <c r="PY111" s="21"/>
      <c r="PZ111" s="21"/>
      <c r="QA111" s="21"/>
      <c r="QB111" s="21"/>
      <c r="QC111" s="21"/>
      <c r="QD111" s="21"/>
      <c r="QE111" s="21"/>
      <c r="QF111" s="21"/>
      <c r="QG111" s="21"/>
      <c r="QH111" s="21"/>
      <c r="QI111" s="21"/>
      <c r="QJ111" s="21"/>
      <c r="QK111" s="21"/>
      <c r="QL111" s="21"/>
      <c r="QM111" s="21"/>
      <c r="QN111" s="21"/>
      <c r="QO111" s="21"/>
      <c r="QP111" s="21"/>
      <c r="QQ111" s="21"/>
      <c r="QR111" s="21"/>
      <c r="QS111" s="21"/>
      <c r="QT111" s="21"/>
      <c r="QU111" s="21"/>
      <c r="QV111" s="21"/>
      <c r="QW111" s="21"/>
      <c r="QX111" s="21"/>
      <c r="QY111" s="21"/>
      <c r="QZ111" s="21"/>
      <c r="RA111" s="21"/>
      <c r="RB111" s="21"/>
      <c r="RC111" s="21"/>
      <c r="RD111" s="21"/>
      <c r="RE111" s="21"/>
      <c r="RF111" s="21"/>
      <c r="RG111" s="21"/>
      <c r="RH111" s="21"/>
      <c r="RI111" s="21"/>
      <c r="RJ111" s="21"/>
      <c r="RK111" s="21"/>
      <c r="RL111" s="21"/>
      <c r="RM111" s="21"/>
      <c r="RN111" s="21"/>
      <c r="RO111" s="21"/>
      <c r="RP111" s="21"/>
      <c r="RQ111" s="21"/>
      <c r="RR111" s="21"/>
      <c r="RS111" s="21"/>
      <c r="RT111" s="21"/>
      <c r="RU111" s="21"/>
      <c r="RV111" s="21"/>
      <c r="RW111" s="21"/>
      <c r="RX111" s="21"/>
      <c r="RY111" s="21"/>
      <c r="RZ111" s="21"/>
      <c r="SA111" s="21"/>
      <c r="SB111" s="21"/>
      <c r="SC111" s="21"/>
      <c r="SD111" s="21"/>
      <c r="SE111" s="21"/>
      <c r="SF111" s="21"/>
      <c r="SG111" s="21"/>
      <c r="SH111" s="21"/>
      <c r="SI111" s="21"/>
      <c r="SJ111" s="21"/>
      <c r="SK111" s="21"/>
      <c r="SL111" s="21"/>
      <c r="SM111" s="21"/>
      <c r="SN111" s="21"/>
      <c r="SO111" s="21"/>
      <c r="SP111" s="21"/>
      <c r="SQ111" s="21"/>
      <c r="SR111" s="21"/>
      <c r="SS111" s="21"/>
      <c r="ST111" s="21"/>
      <c r="SU111" s="21"/>
      <c r="SV111" s="21"/>
      <c r="SW111" s="21"/>
      <c r="SX111" s="21"/>
      <c r="SY111" s="21"/>
      <c r="SZ111" s="21"/>
      <c r="TA111" s="21"/>
      <c r="TB111" s="21"/>
      <c r="TC111" s="21"/>
      <c r="TD111" s="21"/>
      <c r="TE111" s="21"/>
      <c r="TF111" s="21"/>
      <c r="TG111" s="21"/>
      <c r="TH111" s="21"/>
      <c r="TI111" s="21"/>
      <c r="TJ111" s="21"/>
      <c r="TK111" s="21"/>
      <c r="TL111" s="21"/>
      <c r="TM111" s="21"/>
      <c r="TN111" s="21"/>
      <c r="TO111" s="21"/>
      <c r="TP111" s="21"/>
      <c r="TQ111" s="21"/>
      <c r="TR111" s="21"/>
      <c r="TS111" s="21"/>
      <c r="TT111" s="21"/>
      <c r="TU111" s="21"/>
      <c r="TV111" s="21"/>
      <c r="TW111" s="21"/>
      <c r="TX111" s="21"/>
      <c r="TY111" s="21"/>
      <c r="TZ111" s="21"/>
      <c r="UA111" s="21"/>
      <c r="UB111" s="21"/>
      <c r="UC111" s="21"/>
      <c r="UD111" s="21"/>
      <c r="UE111" s="21"/>
      <c r="UF111" s="21"/>
      <c r="UG111" s="21"/>
      <c r="UH111" s="21"/>
      <c r="UI111" s="21"/>
      <c r="UJ111" s="21"/>
      <c r="UK111" s="21"/>
      <c r="UL111" s="21"/>
      <c r="UM111" s="21"/>
      <c r="UN111" s="21"/>
      <c r="UO111" s="21"/>
      <c r="UP111" s="21"/>
      <c r="UQ111" s="21"/>
      <c r="UR111" s="21"/>
      <c r="US111" s="21"/>
      <c r="UT111" s="21"/>
      <c r="UU111" s="21"/>
      <c r="UV111" s="21"/>
      <c r="UW111" s="21"/>
      <c r="UX111" s="21"/>
      <c r="UY111" s="21"/>
      <c r="UZ111" s="21"/>
      <c r="VA111" s="21"/>
      <c r="VB111" s="21"/>
      <c r="VC111" s="21"/>
      <c r="VD111" s="21"/>
      <c r="VE111" s="21"/>
      <c r="VF111" s="21"/>
      <c r="VG111" s="21"/>
      <c r="VH111" s="21"/>
      <c r="VI111" s="21"/>
      <c r="VJ111" s="21"/>
      <c r="VK111" s="21"/>
      <c r="VL111" s="21"/>
      <c r="VM111" s="21"/>
      <c r="VN111" s="21"/>
      <c r="VO111" s="21"/>
      <c r="VP111" s="21"/>
      <c r="VQ111" s="21"/>
      <c r="VR111" s="21"/>
      <c r="VS111" s="21"/>
      <c r="VT111" s="21"/>
      <c r="VU111" s="21"/>
      <c r="VV111" s="21"/>
      <c r="VW111" s="21"/>
      <c r="VX111" s="21"/>
      <c r="VY111" s="21"/>
      <c r="VZ111" s="21"/>
      <c r="WA111" s="21"/>
      <c r="WB111" s="21"/>
      <c r="WC111" s="21"/>
      <c r="WD111" s="21"/>
      <c r="WE111" s="21"/>
      <c r="WF111" s="21"/>
      <c r="WG111" s="21"/>
      <c r="WH111" s="21"/>
      <c r="WI111" s="21"/>
      <c r="WJ111" s="21"/>
      <c r="WK111" s="21"/>
      <c r="WL111" s="21"/>
      <c r="WM111" s="21"/>
      <c r="WN111" s="21"/>
      <c r="WO111" s="21"/>
      <c r="WP111" s="21"/>
      <c r="WQ111" s="21"/>
      <c r="WR111" s="21"/>
      <c r="WS111" s="21"/>
      <c r="WT111" s="21"/>
      <c r="WU111" s="21"/>
      <c r="WV111" s="21"/>
      <c r="WW111" s="21"/>
      <c r="WX111" s="21"/>
      <c r="WY111" s="21"/>
      <c r="WZ111" s="21"/>
      <c r="XA111" s="21"/>
      <c r="XB111" s="21"/>
      <c r="XC111" s="21"/>
      <c r="XD111" s="21"/>
      <c r="XE111" s="21"/>
      <c r="XF111" s="21"/>
      <c r="XG111" s="21"/>
      <c r="XH111" s="21"/>
      <c r="XI111" s="21"/>
      <c r="XJ111" s="21"/>
      <c r="XK111" s="21"/>
      <c r="XL111" s="21"/>
      <c r="XM111" s="21"/>
      <c r="XN111" s="21"/>
      <c r="XO111" s="21"/>
      <c r="XP111" s="21"/>
      <c r="XQ111" s="21"/>
      <c r="XR111" s="21"/>
      <c r="XS111" s="21"/>
      <c r="XT111" s="21"/>
      <c r="XU111" s="21"/>
      <c r="XV111" s="21"/>
      <c r="XW111" s="21"/>
      <c r="XX111" s="21"/>
      <c r="XY111" s="21"/>
      <c r="XZ111" s="21"/>
      <c r="YA111" s="21"/>
      <c r="YB111" s="21"/>
      <c r="YC111" s="21"/>
      <c r="YD111" s="21"/>
      <c r="YE111" s="21"/>
      <c r="YF111" s="21"/>
      <c r="YG111" s="21"/>
      <c r="YH111" s="21"/>
      <c r="YI111" s="21"/>
      <c r="YJ111" s="21"/>
      <c r="YK111" s="21"/>
      <c r="YL111" s="21"/>
      <c r="YM111" s="21"/>
      <c r="YN111" s="21"/>
      <c r="YO111" s="21"/>
      <c r="YP111" s="21"/>
      <c r="YQ111" s="21"/>
      <c r="YR111" s="21"/>
      <c r="YS111" s="21"/>
      <c r="YT111" s="21"/>
      <c r="YU111" s="21"/>
      <c r="YV111" s="21"/>
      <c r="YW111" s="21"/>
      <c r="YX111" s="21"/>
      <c r="YY111" s="21"/>
      <c r="YZ111" s="21"/>
      <c r="ZA111" s="21"/>
      <c r="ZB111" s="21"/>
      <c r="ZC111" s="21"/>
      <c r="ZD111" s="21"/>
      <c r="ZE111" s="21"/>
      <c r="ZF111" s="21"/>
      <c r="ZG111" s="21"/>
      <c r="ZH111" s="21"/>
      <c r="ZI111" s="21"/>
      <c r="ZJ111" s="21"/>
      <c r="ZK111" s="21"/>
      <c r="ZL111" s="21"/>
      <c r="ZM111" s="21"/>
      <c r="ZN111" s="21"/>
      <c r="ZO111" s="21"/>
      <c r="ZP111" s="21"/>
      <c r="ZQ111" s="21"/>
      <c r="ZR111" s="21"/>
      <c r="ZS111" s="21"/>
      <c r="ZT111" s="21"/>
      <c r="ZU111" s="21"/>
      <c r="ZV111" s="21"/>
      <c r="ZW111" s="21"/>
      <c r="ZX111" s="21"/>
      <c r="ZY111" s="21"/>
      <c r="ZZ111" s="21"/>
      <c r="AAA111" s="21"/>
      <c r="AAB111" s="21"/>
      <c r="AAC111" s="21"/>
      <c r="AAD111" s="21"/>
      <c r="AAE111" s="21"/>
      <c r="AAF111" s="21"/>
      <c r="AAG111" s="21"/>
      <c r="AAH111" s="21"/>
      <c r="AAI111" s="21"/>
      <c r="AAJ111" s="21"/>
      <c r="AAK111" s="21"/>
      <c r="AAL111" s="21"/>
      <c r="AAM111" s="21"/>
      <c r="AAN111" s="21"/>
      <c r="AAO111" s="21"/>
      <c r="AAP111" s="21"/>
      <c r="AAQ111" s="21"/>
      <c r="AAR111" s="21"/>
      <c r="AAS111" s="21"/>
      <c r="AAT111" s="21"/>
      <c r="AAU111" s="21"/>
      <c r="AAV111" s="21"/>
      <c r="AAW111" s="21"/>
      <c r="AAX111" s="21"/>
      <c r="AAY111" s="21"/>
      <c r="AAZ111" s="21"/>
      <c r="ABA111" s="21"/>
      <c r="ABB111" s="21"/>
      <c r="ABC111" s="21"/>
      <c r="ABD111" s="21"/>
      <c r="ABE111" s="21"/>
      <c r="ABF111" s="21"/>
      <c r="ABG111" s="21"/>
      <c r="ABH111" s="21"/>
      <c r="ABI111" s="21"/>
      <c r="ABJ111" s="21"/>
      <c r="ABK111" s="21"/>
      <c r="ABL111" s="21"/>
      <c r="ABM111" s="21"/>
      <c r="ABN111" s="21"/>
      <c r="ABO111" s="21"/>
      <c r="ABP111" s="21"/>
      <c r="ABQ111" s="21"/>
      <c r="ABR111" s="21"/>
      <c r="ABS111" s="21"/>
      <c r="ABT111" s="21"/>
      <c r="ABU111" s="21"/>
      <c r="ABV111" s="21"/>
      <c r="ABW111" s="21"/>
      <c r="ABX111" s="21"/>
      <c r="ABY111" s="21"/>
      <c r="ABZ111" s="21"/>
      <c r="ACA111" s="21"/>
      <c r="ACB111" s="21"/>
      <c r="ACC111" s="21"/>
      <c r="ACD111" s="21"/>
      <c r="ACE111" s="21"/>
      <c r="ACF111" s="21"/>
      <c r="ACG111" s="21"/>
      <c r="ACH111" s="21"/>
      <c r="ACI111" s="21"/>
      <c r="ACJ111" s="21"/>
      <c r="ACK111" s="21"/>
      <c r="ACL111" s="21"/>
      <c r="ACM111" s="21"/>
      <c r="ACN111" s="21"/>
      <c r="ACO111" s="21"/>
      <c r="ACP111" s="21"/>
      <c r="ACQ111" s="21"/>
      <c r="ACR111" s="21"/>
      <c r="ACS111" s="21"/>
      <c r="ACT111" s="21"/>
      <c r="ACU111" s="21"/>
      <c r="ACV111" s="21"/>
      <c r="ACW111" s="21"/>
      <c r="ACX111" s="21"/>
      <c r="ACY111" s="21"/>
      <c r="ACZ111" s="21"/>
      <c r="ADA111" s="21"/>
      <c r="ADB111" s="21"/>
      <c r="ADC111" s="21"/>
      <c r="ADD111" s="21"/>
      <c r="ADE111" s="21"/>
      <c r="ADF111" s="21"/>
      <c r="ADG111" s="21"/>
      <c r="ADH111" s="21"/>
      <c r="ADI111" s="21"/>
      <c r="ADJ111" s="21"/>
      <c r="ADK111" s="21"/>
      <c r="ADL111" s="21"/>
      <c r="ADM111" s="21"/>
      <c r="ADN111" s="21"/>
      <c r="ADO111" s="21"/>
      <c r="ADP111" s="21"/>
      <c r="ADQ111" s="21"/>
      <c r="ADR111" s="21"/>
      <c r="ADS111" s="21"/>
      <c r="ADT111" s="21"/>
      <c r="ADU111" s="21"/>
      <c r="ADV111" s="21"/>
      <c r="ADW111" s="21"/>
      <c r="ADX111" s="21"/>
      <c r="ADY111" s="21"/>
      <c r="ADZ111" s="21"/>
      <c r="AEA111" s="21"/>
      <c r="AEB111" s="21"/>
      <c r="AEC111" s="21"/>
      <c r="AED111" s="21"/>
      <c r="AEE111" s="21"/>
      <c r="AEF111" s="21"/>
      <c r="AEG111" s="21"/>
    </row>
    <row r="112" spans="1:813" s="93" customFormat="1" ht="90" x14ac:dyDescent="0.25">
      <c r="A112" s="179"/>
      <c r="B112" s="183"/>
      <c r="C112" s="80" t="s">
        <v>228</v>
      </c>
      <c r="D112" s="63" t="s">
        <v>227</v>
      </c>
      <c r="E112" s="36" t="s">
        <v>226</v>
      </c>
      <c r="F112" s="178"/>
      <c r="G112" s="178"/>
      <c r="H112" s="178"/>
      <c r="I112" s="178"/>
      <c r="J112" s="178">
        <f t="shared" si="22"/>
        <v>0</v>
      </c>
      <c r="K112" s="178"/>
      <c r="L112" s="178">
        <f t="shared" si="23"/>
        <v>0</v>
      </c>
      <c r="M112" s="178"/>
      <c r="N112" s="178">
        <f t="shared" si="33"/>
        <v>0</v>
      </c>
      <c r="O112" s="178"/>
      <c r="P112" s="178">
        <f t="shared" si="24"/>
        <v>0</v>
      </c>
      <c r="Q112" s="178"/>
      <c r="R112" s="178">
        <f t="shared" si="36"/>
        <v>0</v>
      </c>
      <c r="S112" s="178"/>
      <c r="T112" s="178">
        <f t="shared" si="34"/>
        <v>0</v>
      </c>
      <c r="U112" s="178"/>
      <c r="V112" s="178">
        <f t="shared" si="26"/>
        <v>0</v>
      </c>
      <c r="W112" s="178"/>
      <c r="X112" s="178">
        <f t="shared" si="27"/>
        <v>0</v>
      </c>
      <c r="Y112" s="178"/>
      <c r="Z112" s="178">
        <f t="shared" si="28"/>
        <v>0</v>
      </c>
      <c r="AA112" s="178"/>
      <c r="AB112" s="178">
        <f t="shared" si="29"/>
        <v>0</v>
      </c>
      <c r="AC112" s="178"/>
      <c r="AD112" s="178">
        <f t="shared" si="30"/>
        <v>0</v>
      </c>
      <c r="AE112" s="178"/>
      <c r="AF112" s="178">
        <f t="shared" si="31"/>
        <v>0</v>
      </c>
      <c r="AG112" s="215"/>
      <c r="AH112" s="215"/>
      <c r="AI112" s="175"/>
      <c r="AJ112" s="214"/>
      <c r="AK112" s="214"/>
      <c r="AL112" s="214"/>
      <c r="AM112" s="213"/>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c r="FB112" s="21"/>
      <c r="FC112" s="21"/>
      <c r="FD112" s="21"/>
      <c r="FE112" s="21"/>
      <c r="FF112" s="21"/>
      <c r="FG112" s="21"/>
      <c r="FH112" s="21"/>
      <c r="FI112" s="21"/>
      <c r="FJ112" s="21"/>
      <c r="FK112" s="21"/>
      <c r="FL112" s="21"/>
      <c r="FM112" s="21"/>
      <c r="FN112" s="21"/>
      <c r="FO112" s="21"/>
      <c r="FP112" s="21"/>
      <c r="FQ112" s="21"/>
      <c r="FR112" s="21"/>
      <c r="FS112" s="21"/>
      <c r="FT112" s="21"/>
      <c r="FU112" s="21"/>
      <c r="FV112" s="21"/>
      <c r="FW112" s="21"/>
      <c r="FX112" s="21"/>
      <c r="FY112" s="21"/>
      <c r="FZ112" s="21"/>
      <c r="GA112" s="21"/>
      <c r="GB112" s="21"/>
      <c r="GC112" s="21"/>
      <c r="GD112" s="21"/>
      <c r="GE112" s="21"/>
      <c r="GF112" s="21"/>
      <c r="GG112" s="21"/>
      <c r="GH112" s="21"/>
      <c r="GI112" s="21"/>
      <c r="GJ112" s="21"/>
      <c r="GK112" s="21"/>
      <c r="GL112" s="21"/>
      <c r="GM112" s="21"/>
      <c r="GN112" s="21"/>
      <c r="GO112" s="21"/>
      <c r="GP112" s="21"/>
      <c r="GQ112" s="21"/>
      <c r="GR112" s="21"/>
      <c r="GS112" s="21"/>
      <c r="GT112" s="21"/>
      <c r="GU112" s="21"/>
      <c r="GV112" s="21"/>
      <c r="GW112" s="21"/>
      <c r="GX112" s="21"/>
      <c r="GY112" s="21"/>
      <c r="GZ112" s="21"/>
      <c r="HA112" s="21"/>
      <c r="HB112" s="21"/>
      <c r="HC112" s="21"/>
      <c r="HD112" s="21"/>
      <c r="HE112" s="21"/>
      <c r="HF112" s="21"/>
      <c r="HG112" s="21"/>
      <c r="HH112" s="21"/>
      <c r="HI112" s="21"/>
      <c r="HJ112" s="21"/>
      <c r="HK112" s="21"/>
      <c r="HL112" s="21"/>
      <c r="HM112" s="21"/>
      <c r="HN112" s="21"/>
      <c r="HO112" s="21"/>
      <c r="HP112" s="21"/>
      <c r="HQ112" s="21"/>
      <c r="HR112" s="21"/>
      <c r="HS112" s="21"/>
      <c r="HT112" s="21"/>
      <c r="HU112" s="21"/>
      <c r="HV112" s="21"/>
      <c r="HW112" s="21"/>
      <c r="HX112" s="21"/>
      <c r="HY112" s="21"/>
      <c r="HZ112" s="21"/>
      <c r="IA112" s="21"/>
      <c r="IB112" s="21"/>
      <c r="IC112" s="21"/>
      <c r="ID112" s="21"/>
      <c r="IE112" s="21"/>
      <c r="IF112" s="21"/>
      <c r="IG112" s="21"/>
      <c r="IH112" s="21"/>
      <c r="II112" s="21"/>
      <c r="IJ112" s="21"/>
      <c r="IK112" s="21"/>
      <c r="IL112" s="21"/>
      <c r="IM112" s="21"/>
      <c r="IN112" s="21"/>
      <c r="IO112" s="21"/>
      <c r="IP112" s="21"/>
      <c r="IQ112" s="21"/>
      <c r="IR112" s="21"/>
      <c r="IS112" s="21"/>
      <c r="IT112" s="21"/>
      <c r="IU112" s="21"/>
      <c r="IV112" s="21"/>
      <c r="IW112" s="21"/>
      <c r="IX112" s="21"/>
      <c r="IY112" s="21"/>
      <c r="IZ112" s="21"/>
      <c r="JA112" s="21"/>
      <c r="JB112" s="21"/>
      <c r="JC112" s="21"/>
      <c r="JD112" s="21"/>
      <c r="JE112" s="21"/>
      <c r="JF112" s="21"/>
      <c r="JG112" s="21"/>
      <c r="JH112" s="21"/>
      <c r="JI112" s="21"/>
      <c r="JJ112" s="21"/>
      <c r="JK112" s="21"/>
      <c r="JL112" s="21"/>
      <c r="JM112" s="21"/>
      <c r="JN112" s="21"/>
      <c r="JO112" s="21"/>
      <c r="JP112" s="21"/>
      <c r="JQ112" s="21"/>
      <c r="JR112" s="21"/>
      <c r="JS112" s="21"/>
      <c r="JT112" s="21"/>
      <c r="JU112" s="21"/>
      <c r="JV112" s="21"/>
      <c r="JW112" s="21"/>
      <c r="JX112" s="21"/>
      <c r="JY112" s="21"/>
      <c r="JZ112" s="21"/>
      <c r="KA112" s="21"/>
      <c r="KB112" s="21"/>
      <c r="KC112" s="21"/>
      <c r="KD112" s="21"/>
      <c r="KE112" s="21"/>
      <c r="KF112" s="21"/>
      <c r="KG112" s="21"/>
      <c r="KH112" s="21"/>
      <c r="KI112" s="21"/>
      <c r="KJ112" s="21"/>
      <c r="KK112" s="21"/>
      <c r="KL112" s="21"/>
      <c r="KM112" s="21"/>
      <c r="KN112" s="21"/>
      <c r="KO112" s="21"/>
      <c r="KP112" s="21"/>
      <c r="KQ112" s="21"/>
      <c r="KR112" s="21"/>
      <c r="KS112" s="21"/>
      <c r="KT112" s="21"/>
      <c r="KU112" s="21"/>
      <c r="KV112" s="21"/>
      <c r="KW112" s="21"/>
      <c r="KX112" s="21"/>
      <c r="KY112" s="21"/>
      <c r="KZ112" s="21"/>
      <c r="LA112" s="21"/>
      <c r="LB112" s="21"/>
      <c r="LC112" s="21"/>
      <c r="LD112" s="21"/>
      <c r="LE112" s="21"/>
      <c r="LF112" s="21"/>
      <c r="LG112" s="21"/>
      <c r="LH112" s="21"/>
      <c r="LI112" s="21"/>
      <c r="LJ112" s="21"/>
      <c r="LK112" s="21"/>
      <c r="LL112" s="21"/>
      <c r="LM112" s="21"/>
      <c r="LN112" s="21"/>
      <c r="LO112" s="21"/>
      <c r="LP112" s="21"/>
      <c r="LQ112" s="21"/>
      <c r="LR112" s="21"/>
      <c r="LS112" s="21"/>
      <c r="LT112" s="21"/>
      <c r="LU112" s="21"/>
      <c r="LV112" s="21"/>
      <c r="LW112" s="21"/>
      <c r="LX112" s="21"/>
      <c r="LY112" s="21"/>
      <c r="LZ112" s="21"/>
      <c r="MA112" s="21"/>
      <c r="MB112" s="21"/>
      <c r="MC112" s="21"/>
      <c r="MD112" s="21"/>
      <c r="ME112" s="21"/>
      <c r="MF112" s="21"/>
      <c r="MG112" s="21"/>
      <c r="MH112" s="21"/>
      <c r="MI112" s="21"/>
      <c r="MJ112" s="21"/>
      <c r="MK112" s="21"/>
      <c r="ML112" s="21"/>
      <c r="MM112" s="21"/>
      <c r="MN112" s="21"/>
      <c r="MO112" s="21"/>
      <c r="MP112" s="21"/>
      <c r="MQ112" s="21"/>
      <c r="MR112" s="21"/>
      <c r="MS112" s="21"/>
      <c r="MT112" s="21"/>
      <c r="MU112" s="21"/>
      <c r="MV112" s="21"/>
      <c r="MW112" s="21"/>
      <c r="MX112" s="21"/>
      <c r="MY112" s="21"/>
      <c r="MZ112" s="21"/>
      <c r="NA112" s="21"/>
      <c r="NB112" s="21"/>
      <c r="NC112" s="21"/>
      <c r="ND112" s="21"/>
      <c r="NE112" s="21"/>
      <c r="NF112" s="21"/>
      <c r="NG112" s="21"/>
      <c r="NH112" s="21"/>
      <c r="NI112" s="21"/>
      <c r="NJ112" s="21"/>
      <c r="NK112" s="21"/>
      <c r="NL112" s="21"/>
      <c r="NM112" s="21"/>
      <c r="NN112" s="21"/>
      <c r="NO112" s="21"/>
      <c r="NP112" s="21"/>
      <c r="NQ112" s="21"/>
      <c r="NR112" s="21"/>
      <c r="NS112" s="21"/>
      <c r="NT112" s="21"/>
      <c r="NU112" s="21"/>
      <c r="NV112" s="21"/>
      <c r="NW112" s="21"/>
      <c r="NX112" s="21"/>
      <c r="NY112" s="21"/>
      <c r="NZ112" s="21"/>
      <c r="OA112" s="21"/>
      <c r="OB112" s="21"/>
      <c r="OC112" s="21"/>
      <c r="OD112" s="21"/>
      <c r="OE112" s="21"/>
      <c r="OF112" s="21"/>
      <c r="OG112" s="21"/>
      <c r="OH112" s="21"/>
      <c r="OI112" s="21"/>
      <c r="OJ112" s="21"/>
      <c r="OK112" s="21"/>
      <c r="OL112" s="21"/>
      <c r="OM112" s="21"/>
      <c r="ON112" s="21"/>
      <c r="OO112" s="21"/>
      <c r="OP112" s="21"/>
      <c r="OQ112" s="21"/>
      <c r="OR112" s="21"/>
      <c r="OS112" s="21"/>
      <c r="OT112" s="21"/>
      <c r="OU112" s="21"/>
      <c r="OV112" s="21"/>
      <c r="OW112" s="21"/>
      <c r="OX112" s="21"/>
      <c r="OY112" s="21"/>
      <c r="OZ112" s="21"/>
      <c r="PA112" s="21"/>
      <c r="PB112" s="21"/>
      <c r="PC112" s="21"/>
      <c r="PD112" s="21"/>
      <c r="PE112" s="21"/>
      <c r="PF112" s="21"/>
      <c r="PG112" s="21"/>
      <c r="PH112" s="21"/>
      <c r="PI112" s="21"/>
      <c r="PJ112" s="21"/>
      <c r="PK112" s="21"/>
      <c r="PL112" s="21"/>
      <c r="PM112" s="21"/>
      <c r="PN112" s="21"/>
      <c r="PO112" s="21"/>
      <c r="PP112" s="21"/>
      <c r="PQ112" s="21"/>
      <c r="PR112" s="21"/>
      <c r="PS112" s="21"/>
      <c r="PT112" s="21"/>
      <c r="PU112" s="21"/>
      <c r="PV112" s="21"/>
      <c r="PW112" s="21"/>
      <c r="PX112" s="21"/>
      <c r="PY112" s="21"/>
      <c r="PZ112" s="21"/>
      <c r="QA112" s="21"/>
      <c r="QB112" s="21"/>
      <c r="QC112" s="21"/>
      <c r="QD112" s="21"/>
      <c r="QE112" s="21"/>
      <c r="QF112" s="21"/>
      <c r="QG112" s="21"/>
      <c r="QH112" s="21"/>
      <c r="QI112" s="21"/>
      <c r="QJ112" s="21"/>
      <c r="QK112" s="21"/>
      <c r="QL112" s="21"/>
      <c r="QM112" s="21"/>
      <c r="QN112" s="21"/>
      <c r="QO112" s="21"/>
      <c r="QP112" s="21"/>
      <c r="QQ112" s="21"/>
      <c r="QR112" s="21"/>
      <c r="QS112" s="21"/>
      <c r="QT112" s="21"/>
      <c r="QU112" s="21"/>
      <c r="QV112" s="21"/>
      <c r="QW112" s="21"/>
      <c r="QX112" s="21"/>
      <c r="QY112" s="21"/>
      <c r="QZ112" s="21"/>
      <c r="RA112" s="21"/>
      <c r="RB112" s="21"/>
      <c r="RC112" s="21"/>
      <c r="RD112" s="21"/>
      <c r="RE112" s="21"/>
      <c r="RF112" s="21"/>
      <c r="RG112" s="21"/>
      <c r="RH112" s="21"/>
      <c r="RI112" s="21"/>
      <c r="RJ112" s="21"/>
      <c r="RK112" s="21"/>
      <c r="RL112" s="21"/>
      <c r="RM112" s="21"/>
      <c r="RN112" s="21"/>
      <c r="RO112" s="21"/>
      <c r="RP112" s="21"/>
      <c r="RQ112" s="21"/>
      <c r="RR112" s="21"/>
      <c r="RS112" s="21"/>
      <c r="RT112" s="21"/>
      <c r="RU112" s="21"/>
      <c r="RV112" s="21"/>
      <c r="RW112" s="21"/>
      <c r="RX112" s="21"/>
      <c r="RY112" s="21"/>
      <c r="RZ112" s="21"/>
      <c r="SA112" s="21"/>
      <c r="SB112" s="21"/>
      <c r="SC112" s="21"/>
      <c r="SD112" s="21"/>
      <c r="SE112" s="21"/>
      <c r="SF112" s="21"/>
      <c r="SG112" s="21"/>
      <c r="SH112" s="21"/>
      <c r="SI112" s="21"/>
      <c r="SJ112" s="21"/>
      <c r="SK112" s="21"/>
      <c r="SL112" s="21"/>
      <c r="SM112" s="21"/>
      <c r="SN112" s="21"/>
      <c r="SO112" s="21"/>
      <c r="SP112" s="21"/>
      <c r="SQ112" s="21"/>
      <c r="SR112" s="21"/>
      <c r="SS112" s="21"/>
      <c r="ST112" s="21"/>
      <c r="SU112" s="21"/>
      <c r="SV112" s="21"/>
      <c r="SW112" s="21"/>
      <c r="SX112" s="21"/>
      <c r="SY112" s="21"/>
      <c r="SZ112" s="21"/>
      <c r="TA112" s="21"/>
      <c r="TB112" s="21"/>
      <c r="TC112" s="21"/>
      <c r="TD112" s="21"/>
      <c r="TE112" s="21"/>
      <c r="TF112" s="21"/>
      <c r="TG112" s="21"/>
      <c r="TH112" s="21"/>
      <c r="TI112" s="21"/>
      <c r="TJ112" s="21"/>
      <c r="TK112" s="21"/>
      <c r="TL112" s="21"/>
      <c r="TM112" s="21"/>
      <c r="TN112" s="21"/>
      <c r="TO112" s="21"/>
      <c r="TP112" s="21"/>
      <c r="TQ112" s="21"/>
      <c r="TR112" s="21"/>
      <c r="TS112" s="21"/>
      <c r="TT112" s="21"/>
      <c r="TU112" s="21"/>
      <c r="TV112" s="21"/>
      <c r="TW112" s="21"/>
      <c r="TX112" s="21"/>
      <c r="TY112" s="21"/>
      <c r="TZ112" s="21"/>
      <c r="UA112" s="21"/>
      <c r="UB112" s="21"/>
      <c r="UC112" s="21"/>
      <c r="UD112" s="21"/>
      <c r="UE112" s="21"/>
      <c r="UF112" s="21"/>
      <c r="UG112" s="21"/>
      <c r="UH112" s="21"/>
      <c r="UI112" s="21"/>
      <c r="UJ112" s="21"/>
      <c r="UK112" s="21"/>
      <c r="UL112" s="21"/>
      <c r="UM112" s="21"/>
      <c r="UN112" s="21"/>
      <c r="UO112" s="21"/>
      <c r="UP112" s="21"/>
      <c r="UQ112" s="21"/>
      <c r="UR112" s="21"/>
      <c r="US112" s="21"/>
      <c r="UT112" s="21"/>
      <c r="UU112" s="21"/>
      <c r="UV112" s="21"/>
      <c r="UW112" s="21"/>
      <c r="UX112" s="21"/>
      <c r="UY112" s="21"/>
      <c r="UZ112" s="21"/>
      <c r="VA112" s="21"/>
      <c r="VB112" s="21"/>
      <c r="VC112" s="21"/>
      <c r="VD112" s="21"/>
      <c r="VE112" s="21"/>
      <c r="VF112" s="21"/>
      <c r="VG112" s="21"/>
      <c r="VH112" s="21"/>
      <c r="VI112" s="21"/>
      <c r="VJ112" s="21"/>
      <c r="VK112" s="21"/>
      <c r="VL112" s="21"/>
      <c r="VM112" s="21"/>
      <c r="VN112" s="21"/>
      <c r="VO112" s="21"/>
      <c r="VP112" s="21"/>
      <c r="VQ112" s="21"/>
      <c r="VR112" s="21"/>
      <c r="VS112" s="21"/>
      <c r="VT112" s="21"/>
      <c r="VU112" s="21"/>
      <c r="VV112" s="21"/>
      <c r="VW112" s="21"/>
      <c r="VX112" s="21"/>
      <c r="VY112" s="21"/>
      <c r="VZ112" s="21"/>
      <c r="WA112" s="21"/>
      <c r="WB112" s="21"/>
      <c r="WC112" s="21"/>
      <c r="WD112" s="21"/>
      <c r="WE112" s="21"/>
      <c r="WF112" s="21"/>
      <c r="WG112" s="21"/>
      <c r="WH112" s="21"/>
      <c r="WI112" s="21"/>
      <c r="WJ112" s="21"/>
      <c r="WK112" s="21"/>
      <c r="WL112" s="21"/>
      <c r="WM112" s="21"/>
      <c r="WN112" s="21"/>
      <c r="WO112" s="21"/>
      <c r="WP112" s="21"/>
      <c r="WQ112" s="21"/>
      <c r="WR112" s="21"/>
      <c r="WS112" s="21"/>
      <c r="WT112" s="21"/>
      <c r="WU112" s="21"/>
      <c r="WV112" s="21"/>
      <c r="WW112" s="21"/>
      <c r="WX112" s="21"/>
      <c r="WY112" s="21"/>
      <c r="WZ112" s="21"/>
      <c r="XA112" s="21"/>
      <c r="XB112" s="21"/>
      <c r="XC112" s="21"/>
      <c r="XD112" s="21"/>
      <c r="XE112" s="21"/>
      <c r="XF112" s="21"/>
      <c r="XG112" s="21"/>
      <c r="XH112" s="21"/>
      <c r="XI112" s="21"/>
      <c r="XJ112" s="21"/>
      <c r="XK112" s="21"/>
      <c r="XL112" s="21"/>
      <c r="XM112" s="21"/>
      <c r="XN112" s="21"/>
      <c r="XO112" s="21"/>
      <c r="XP112" s="21"/>
      <c r="XQ112" s="21"/>
      <c r="XR112" s="21"/>
      <c r="XS112" s="21"/>
      <c r="XT112" s="21"/>
      <c r="XU112" s="21"/>
      <c r="XV112" s="21"/>
      <c r="XW112" s="21"/>
      <c r="XX112" s="21"/>
      <c r="XY112" s="21"/>
      <c r="XZ112" s="21"/>
      <c r="YA112" s="21"/>
      <c r="YB112" s="21"/>
      <c r="YC112" s="21"/>
      <c r="YD112" s="21"/>
      <c r="YE112" s="21"/>
      <c r="YF112" s="21"/>
      <c r="YG112" s="21"/>
      <c r="YH112" s="21"/>
      <c r="YI112" s="21"/>
      <c r="YJ112" s="21"/>
      <c r="YK112" s="21"/>
      <c r="YL112" s="21"/>
      <c r="YM112" s="21"/>
      <c r="YN112" s="21"/>
      <c r="YO112" s="21"/>
      <c r="YP112" s="21"/>
      <c r="YQ112" s="21"/>
      <c r="YR112" s="21"/>
      <c r="YS112" s="21"/>
      <c r="YT112" s="21"/>
      <c r="YU112" s="21"/>
      <c r="YV112" s="21"/>
      <c r="YW112" s="21"/>
      <c r="YX112" s="21"/>
      <c r="YY112" s="21"/>
      <c r="YZ112" s="21"/>
      <c r="ZA112" s="21"/>
      <c r="ZB112" s="21"/>
      <c r="ZC112" s="21"/>
      <c r="ZD112" s="21"/>
      <c r="ZE112" s="21"/>
      <c r="ZF112" s="21"/>
      <c r="ZG112" s="21"/>
      <c r="ZH112" s="21"/>
      <c r="ZI112" s="21"/>
      <c r="ZJ112" s="21"/>
      <c r="ZK112" s="21"/>
      <c r="ZL112" s="21"/>
      <c r="ZM112" s="21"/>
      <c r="ZN112" s="21"/>
      <c r="ZO112" s="21"/>
      <c r="ZP112" s="21"/>
      <c r="ZQ112" s="21"/>
      <c r="ZR112" s="21"/>
      <c r="ZS112" s="21"/>
      <c r="ZT112" s="21"/>
      <c r="ZU112" s="21"/>
      <c r="ZV112" s="21"/>
      <c r="ZW112" s="21"/>
      <c r="ZX112" s="21"/>
      <c r="ZY112" s="21"/>
      <c r="ZZ112" s="21"/>
      <c r="AAA112" s="21"/>
      <c r="AAB112" s="21"/>
      <c r="AAC112" s="21"/>
      <c r="AAD112" s="21"/>
      <c r="AAE112" s="21"/>
      <c r="AAF112" s="21"/>
      <c r="AAG112" s="21"/>
      <c r="AAH112" s="21"/>
      <c r="AAI112" s="21"/>
      <c r="AAJ112" s="21"/>
      <c r="AAK112" s="21"/>
      <c r="AAL112" s="21"/>
      <c r="AAM112" s="21"/>
      <c r="AAN112" s="21"/>
      <c r="AAO112" s="21"/>
      <c r="AAP112" s="21"/>
      <c r="AAQ112" s="21"/>
      <c r="AAR112" s="21"/>
      <c r="AAS112" s="21"/>
      <c r="AAT112" s="21"/>
      <c r="AAU112" s="21"/>
      <c r="AAV112" s="21"/>
      <c r="AAW112" s="21"/>
      <c r="AAX112" s="21"/>
      <c r="AAY112" s="21"/>
      <c r="AAZ112" s="21"/>
      <c r="ABA112" s="21"/>
      <c r="ABB112" s="21"/>
      <c r="ABC112" s="21"/>
      <c r="ABD112" s="21"/>
      <c r="ABE112" s="21"/>
      <c r="ABF112" s="21"/>
      <c r="ABG112" s="21"/>
      <c r="ABH112" s="21"/>
      <c r="ABI112" s="21"/>
      <c r="ABJ112" s="21"/>
      <c r="ABK112" s="21"/>
      <c r="ABL112" s="21"/>
      <c r="ABM112" s="21"/>
      <c r="ABN112" s="21"/>
      <c r="ABO112" s="21"/>
      <c r="ABP112" s="21"/>
      <c r="ABQ112" s="21"/>
      <c r="ABR112" s="21"/>
      <c r="ABS112" s="21"/>
      <c r="ABT112" s="21"/>
      <c r="ABU112" s="21"/>
      <c r="ABV112" s="21"/>
      <c r="ABW112" s="21"/>
      <c r="ABX112" s="21"/>
      <c r="ABY112" s="21"/>
      <c r="ABZ112" s="21"/>
      <c r="ACA112" s="21"/>
      <c r="ACB112" s="21"/>
      <c r="ACC112" s="21"/>
      <c r="ACD112" s="21"/>
      <c r="ACE112" s="21"/>
      <c r="ACF112" s="21"/>
      <c r="ACG112" s="21"/>
      <c r="ACH112" s="21"/>
      <c r="ACI112" s="21"/>
      <c r="ACJ112" s="21"/>
      <c r="ACK112" s="21"/>
      <c r="ACL112" s="21"/>
      <c r="ACM112" s="21"/>
      <c r="ACN112" s="21"/>
      <c r="ACO112" s="21"/>
      <c r="ACP112" s="21"/>
      <c r="ACQ112" s="21"/>
      <c r="ACR112" s="21"/>
      <c r="ACS112" s="21"/>
      <c r="ACT112" s="21"/>
      <c r="ACU112" s="21"/>
      <c r="ACV112" s="21"/>
      <c r="ACW112" s="21"/>
      <c r="ACX112" s="21"/>
      <c r="ACY112" s="21"/>
      <c r="ACZ112" s="21"/>
      <c r="ADA112" s="21"/>
      <c r="ADB112" s="21"/>
      <c r="ADC112" s="21"/>
      <c r="ADD112" s="21"/>
      <c r="ADE112" s="21"/>
      <c r="ADF112" s="21"/>
      <c r="ADG112" s="21"/>
      <c r="ADH112" s="21"/>
      <c r="ADI112" s="21"/>
      <c r="ADJ112" s="21"/>
      <c r="ADK112" s="21"/>
      <c r="ADL112" s="21"/>
      <c r="ADM112" s="21"/>
      <c r="ADN112" s="21"/>
      <c r="ADO112" s="21"/>
      <c r="ADP112" s="21"/>
      <c r="ADQ112" s="21"/>
      <c r="ADR112" s="21"/>
      <c r="ADS112" s="21"/>
      <c r="ADT112" s="21"/>
      <c r="ADU112" s="21"/>
      <c r="ADV112" s="21"/>
      <c r="ADW112" s="21"/>
      <c r="ADX112" s="21"/>
      <c r="ADY112" s="21"/>
      <c r="ADZ112" s="21"/>
      <c r="AEA112" s="21"/>
      <c r="AEB112" s="21"/>
      <c r="AEC112" s="21"/>
      <c r="AED112" s="21"/>
      <c r="AEE112" s="21"/>
      <c r="AEF112" s="21"/>
      <c r="AEG112" s="21"/>
    </row>
    <row r="113" spans="1:813" s="93" customFormat="1" ht="90" x14ac:dyDescent="0.25">
      <c r="A113" s="179"/>
      <c r="B113" s="183"/>
      <c r="C113" s="80" t="s">
        <v>225</v>
      </c>
      <c r="D113" s="63" t="s">
        <v>224</v>
      </c>
      <c r="E113" s="36" t="s">
        <v>223</v>
      </c>
      <c r="F113" s="178"/>
      <c r="G113" s="178"/>
      <c r="H113" s="178"/>
      <c r="I113" s="178"/>
      <c r="J113" s="178">
        <f t="shared" si="22"/>
        <v>0</v>
      </c>
      <c r="K113" s="178"/>
      <c r="L113" s="178">
        <f t="shared" si="23"/>
        <v>0</v>
      </c>
      <c r="M113" s="178"/>
      <c r="N113" s="178">
        <f t="shared" si="33"/>
        <v>0</v>
      </c>
      <c r="O113" s="178"/>
      <c r="P113" s="178">
        <f t="shared" si="24"/>
        <v>0</v>
      </c>
      <c r="Q113" s="178"/>
      <c r="R113" s="178">
        <f t="shared" si="36"/>
        <v>0</v>
      </c>
      <c r="S113" s="178"/>
      <c r="T113" s="178">
        <f t="shared" si="34"/>
        <v>0</v>
      </c>
      <c r="U113" s="178"/>
      <c r="V113" s="178">
        <f t="shared" si="26"/>
        <v>0</v>
      </c>
      <c r="W113" s="178"/>
      <c r="X113" s="178">
        <f t="shared" si="27"/>
        <v>0</v>
      </c>
      <c r="Y113" s="178"/>
      <c r="Z113" s="178">
        <f t="shared" si="28"/>
        <v>0</v>
      </c>
      <c r="AA113" s="178"/>
      <c r="AB113" s="178">
        <f t="shared" si="29"/>
        <v>0</v>
      </c>
      <c r="AC113" s="178"/>
      <c r="AD113" s="178">
        <f t="shared" si="30"/>
        <v>0</v>
      </c>
      <c r="AE113" s="178"/>
      <c r="AF113" s="178">
        <f t="shared" si="31"/>
        <v>0</v>
      </c>
      <c r="AG113" s="215"/>
      <c r="AH113" s="215"/>
      <c r="AI113" s="175"/>
      <c r="AJ113" s="214"/>
      <c r="AK113" s="214"/>
      <c r="AL113" s="214"/>
      <c r="AM113" s="213"/>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c r="EC113" s="21"/>
      <c r="ED113" s="21"/>
      <c r="EE113" s="21"/>
      <c r="EF113" s="21"/>
      <c r="EG113" s="21"/>
      <c r="EH113" s="21"/>
      <c r="EI113" s="21"/>
      <c r="EJ113" s="21"/>
      <c r="EK113" s="21"/>
      <c r="EL113" s="21"/>
      <c r="EM113" s="21"/>
      <c r="EN113" s="21"/>
      <c r="EO113" s="21"/>
      <c r="EP113" s="21"/>
      <c r="EQ113" s="21"/>
      <c r="ER113" s="21"/>
      <c r="ES113" s="21"/>
      <c r="ET113" s="21"/>
      <c r="EU113" s="21"/>
      <c r="EV113" s="21"/>
      <c r="EW113" s="21"/>
      <c r="EX113" s="21"/>
      <c r="EY113" s="21"/>
      <c r="EZ113" s="21"/>
      <c r="FA113" s="21"/>
      <c r="FB113" s="21"/>
      <c r="FC113" s="21"/>
      <c r="FD113" s="21"/>
      <c r="FE113" s="21"/>
      <c r="FF113" s="21"/>
      <c r="FG113" s="21"/>
      <c r="FH113" s="21"/>
      <c r="FI113" s="21"/>
      <c r="FJ113" s="21"/>
      <c r="FK113" s="21"/>
      <c r="FL113" s="21"/>
      <c r="FM113" s="21"/>
      <c r="FN113" s="21"/>
      <c r="FO113" s="21"/>
      <c r="FP113" s="21"/>
      <c r="FQ113" s="21"/>
      <c r="FR113" s="21"/>
      <c r="FS113" s="21"/>
      <c r="FT113" s="21"/>
      <c r="FU113" s="21"/>
      <c r="FV113" s="21"/>
      <c r="FW113" s="21"/>
      <c r="FX113" s="21"/>
      <c r="FY113" s="21"/>
      <c r="FZ113" s="21"/>
      <c r="GA113" s="21"/>
      <c r="GB113" s="21"/>
      <c r="GC113" s="21"/>
      <c r="GD113" s="21"/>
      <c r="GE113" s="21"/>
      <c r="GF113" s="21"/>
      <c r="GG113" s="21"/>
      <c r="GH113" s="21"/>
      <c r="GI113" s="21"/>
      <c r="GJ113" s="21"/>
      <c r="GK113" s="21"/>
      <c r="GL113" s="21"/>
      <c r="GM113" s="21"/>
      <c r="GN113" s="21"/>
      <c r="GO113" s="21"/>
      <c r="GP113" s="21"/>
      <c r="GQ113" s="21"/>
      <c r="GR113" s="21"/>
      <c r="GS113" s="21"/>
      <c r="GT113" s="21"/>
      <c r="GU113" s="21"/>
      <c r="GV113" s="21"/>
      <c r="GW113" s="21"/>
      <c r="GX113" s="21"/>
      <c r="GY113" s="21"/>
      <c r="GZ113" s="21"/>
      <c r="HA113" s="21"/>
      <c r="HB113" s="21"/>
      <c r="HC113" s="21"/>
      <c r="HD113" s="21"/>
      <c r="HE113" s="21"/>
      <c r="HF113" s="21"/>
      <c r="HG113" s="21"/>
      <c r="HH113" s="21"/>
      <c r="HI113" s="21"/>
      <c r="HJ113" s="21"/>
      <c r="HK113" s="21"/>
      <c r="HL113" s="21"/>
      <c r="HM113" s="21"/>
      <c r="HN113" s="21"/>
      <c r="HO113" s="21"/>
      <c r="HP113" s="21"/>
      <c r="HQ113" s="21"/>
      <c r="HR113" s="21"/>
      <c r="HS113" s="21"/>
      <c r="HT113" s="21"/>
      <c r="HU113" s="21"/>
      <c r="HV113" s="21"/>
      <c r="HW113" s="21"/>
      <c r="HX113" s="21"/>
      <c r="HY113" s="21"/>
      <c r="HZ113" s="21"/>
      <c r="IA113" s="21"/>
      <c r="IB113" s="21"/>
      <c r="IC113" s="21"/>
      <c r="ID113" s="21"/>
      <c r="IE113" s="21"/>
      <c r="IF113" s="21"/>
      <c r="IG113" s="21"/>
      <c r="IH113" s="21"/>
      <c r="II113" s="21"/>
      <c r="IJ113" s="21"/>
      <c r="IK113" s="21"/>
      <c r="IL113" s="21"/>
      <c r="IM113" s="21"/>
      <c r="IN113" s="21"/>
      <c r="IO113" s="21"/>
      <c r="IP113" s="21"/>
      <c r="IQ113" s="21"/>
      <c r="IR113" s="21"/>
      <c r="IS113" s="21"/>
      <c r="IT113" s="21"/>
      <c r="IU113" s="21"/>
      <c r="IV113" s="21"/>
      <c r="IW113" s="21"/>
      <c r="IX113" s="21"/>
      <c r="IY113" s="21"/>
      <c r="IZ113" s="21"/>
      <c r="JA113" s="21"/>
      <c r="JB113" s="21"/>
      <c r="JC113" s="21"/>
      <c r="JD113" s="21"/>
      <c r="JE113" s="21"/>
      <c r="JF113" s="21"/>
      <c r="JG113" s="21"/>
      <c r="JH113" s="21"/>
      <c r="JI113" s="21"/>
      <c r="JJ113" s="21"/>
      <c r="JK113" s="21"/>
      <c r="JL113" s="21"/>
      <c r="JM113" s="21"/>
      <c r="JN113" s="21"/>
      <c r="JO113" s="21"/>
      <c r="JP113" s="21"/>
      <c r="JQ113" s="21"/>
      <c r="JR113" s="21"/>
      <c r="JS113" s="21"/>
      <c r="JT113" s="21"/>
      <c r="JU113" s="21"/>
      <c r="JV113" s="21"/>
      <c r="JW113" s="21"/>
      <c r="JX113" s="21"/>
      <c r="JY113" s="21"/>
      <c r="JZ113" s="21"/>
      <c r="KA113" s="21"/>
      <c r="KB113" s="21"/>
      <c r="KC113" s="21"/>
      <c r="KD113" s="21"/>
      <c r="KE113" s="21"/>
      <c r="KF113" s="21"/>
      <c r="KG113" s="21"/>
      <c r="KH113" s="21"/>
      <c r="KI113" s="21"/>
      <c r="KJ113" s="21"/>
      <c r="KK113" s="21"/>
      <c r="KL113" s="21"/>
      <c r="KM113" s="21"/>
      <c r="KN113" s="21"/>
      <c r="KO113" s="21"/>
      <c r="KP113" s="21"/>
      <c r="KQ113" s="21"/>
      <c r="KR113" s="21"/>
      <c r="KS113" s="21"/>
      <c r="KT113" s="21"/>
      <c r="KU113" s="21"/>
      <c r="KV113" s="21"/>
      <c r="KW113" s="21"/>
      <c r="KX113" s="21"/>
      <c r="KY113" s="21"/>
      <c r="KZ113" s="21"/>
      <c r="LA113" s="21"/>
      <c r="LB113" s="21"/>
      <c r="LC113" s="21"/>
      <c r="LD113" s="21"/>
      <c r="LE113" s="21"/>
      <c r="LF113" s="21"/>
      <c r="LG113" s="21"/>
      <c r="LH113" s="21"/>
      <c r="LI113" s="21"/>
      <c r="LJ113" s="21"/>
      <c r="LK113" s="21"/>
      <c r="LL113" s="21"/>
      <c r="LM113" s="21"/>
      <c r="LN113" s="21"/>
      <c r="LO113" s="21"/>
      <c r="LP113" s="21"/>
      <c r="LQ113" s="21"/>
      <c r="LR113" s="21"/>
      <c r="LS113" s="21"/>
      <c r="LT113" s="21"/>
      <c r="LU113" s="21"/>
      <c r="LV113" s="21"/>
      <c r="LW113" s="21"/>
      <c r="LX113" s="21"/>
      <c r="LY113" s="21"/>
      <c r="LZ113" s="21"/>
      <c r="MA113" s="21"/>
      <c r="MB113" s="21"/>
      <c r="MC113" s="21"/>
      <c r="MD113" s="21"/>
      <c r="ME113" s="21"/>
      <c r="MF113" s="21"/>
      <c r="MG113" s="21"/>
      <c r="MH113" s="21"/>
      <c r="MI113" s="21"/>
      <c r="MJ113" s="21"/>
      <c r="MK113" s="21"/>
      <c r="ML113" s="21"/>
      <c r="MM113" s="21"/>
      <c r="MN113" s="21"/>
      <c r="MO113" s="21"/>
      <c r="MP113" s="21"/>
      <c r="MQ113" s="21"/>
      <c r="MR113" s="21"/>
      <c r="MS113" s="21"/>
      <c r="MT113" s="21"/>
      <c r="MU113" s="21"/>
      <c r="MV113" s="21"/>
      <c r="MW113" s="21"/>
      <c r="MX113" s="21"/>
      <c r="MY113" s="21"/>
      <c r="MZ113" s="21"/>
      <c r="NA113" s="21"/>
      <c r="NB113" s="21"/>
      <c r="NC113" s="21"/>
      <c r="ND113" s="21"/>
      <c r="NE113" s="21"/>
      <c r="NF113" s="21"/>
      <c r="NG113" s="21"/>
      <c r="NH113" s="21"/>
      <c r="NI113" s="21"/>
      <c r="NJ113" s="21"/>
      <c r="NK113" s="21"/>
      <c r="NL113" s="21"/>
      <c r="NM113" s="21"/>
      <c r="NN113" s="21"/>
      <c r="NO113" s="21"/>
      <c r="NP113" s="21"/>
      <c r="NQ113" s="21"/>
      <c r="NR113" s="21"/>
      <c r="NS113" s="21"/>
      <c r="NT113" s="21"/>
      <c r="NU113" s="21"/>
      <c r="NV113" s="21"/>
      <c r="NW113" s="21"/>
      <c r="NX113" s="21"/>
      <c r="NY113" s="21"/>
      <c r="NZ113" s="21"/>
      <c r="OA113" s="21"/>
      <c r="OB113" s="21"/>
      <c r="OC113" s="21"/>
      <c r="OD113" s="21"/>
      <c r="OE113" s="21"/>
      <c r="OF113" s="21"/>
      <c r="OG113" s="21"/>
      <c r="OH113" s="21"/>
      <c r="OI113" s="21"/>
      <c r="OJ113" s="21"/>
      <c r="OK113" s="21"/>
      <c r="OL113" s="21"/>
      <c r="OM113" s="21"/>
      <c r="ON113" s="21"/>
      <c r="OO113" s="21"/>
      <c r="OP113" s="21"/>
      <c r="OQ113" s="21"/>
      <c r="OR113" s="21"/>
      <c r="OS113" s="21"/>
      <c r="OT113" s="21"/>
      <c r="OU113" s="21"/>
      <c r="OV113" s="21"/>
      <c r="OW113" s="21"/>
      <c r="OX113" s="21"/>
      <c r="OY113" s="21"/>
      <c r="OZ113" s="21"/>
      <c r="PA113" s="21"/>
      <c r="PB113" s="21"/>
      <c r="PC113" s="21"/>
      <c r="PD113" s="21"/>
      <c r="PE113" s="21"/>
      <c r="PF113" s="21"/>
      <c r="PG113" s="21"/>
      <c r="PH113" s="21"/>
      <c r="PI113" s="21"/>
      <c r="PJ113" s="21"/>
      <c r="PK113" s="21"/>
      <c r="PL113" s="21"/>
      <c r="PM113" s="21"/>
      <c r="PN113" s="21"/>
      <c r="PO113" s="21"/>
      <c r="PP113" s="21"/>
      <c r="PQ113" s="21"/>
      <c r="PR113" s="21"/>
      <c r="PS113" s="21"/>
      <c r="PT113" s="21"/>
      <c r="PU113" s="21"/>
      <c r="PV113" s="21"/>
      <c r="PW113" s="21"/>
      <c r="PX113" s="21"/>
      <c r="PY113" s="21"/>
      <c r="PZ113" s="21"/>
      <c r="QA113" s="21"/>
      <c r="QB113" s="21"/>
      <c r="QC113" s="21"/>
      <c r="QD113" s="21"/>
      <c r="QE113" s="21"/>
      <c r="QF113" s="21"/>
      <c r="QG113" s="21"/>
      <c r="QH113" s="21"/>
      <c r="QI113" s="21"/>
      <c r="QJ113" s="21"/>
      <c r="QK113" s="21"/>
      <c r="QL113" s="21"/>
      <c r="QM113" s="21"/>
      <c r="QN113" s="21"/>
      <c r="QO113" s="21"/>
      <c r="QP113" s="21"/>
      <c r="QQ113" s="21"/>
      <c r="QR113" s="21"/>
      <c r="QS113" s="21"/>
      <c r="QT113" s="21"/>
      <c r="QU113" s="21"/>
      <c r="QV113" s="21"/>
      <c r="QW113" s="21"/>
      <c r="QX113" s="21"/>
      <c r="QY113" s="21"/>
      <c r="QZ113" s="21"/>
      <c r="RA113" s="21"/>
      <c r="RB113" s="21"/>
      <c r="RC113" s="21"/>
      <c r="RD113" s="21"/>
      <c r="RE113" s="21"/>
      <c r="RF113" s="21"/>
      <c r="RG113" s="21"/>
      <c r="RH113" s="21"/>
      <c r="RI113" s="21"/>
      <c r="RJ113" s="21"/>
      <c r="RK113" s="21"/>
      <c r="RL113" s="21"/>
      <c r="RM113" s="21"/>
      <c r="RN113" s="21"/>
      <c r="RO113" s="21"/>
      <c r="RP113" s="21"/>
      <c r="RQ113" s="21"/>
      <c r="RR113" s="21"/>
      <c r="RS113" s="21"/>
      <c r="RT113" s="21"/>
      <c r="RU113" s="21"/>
      <c r="RV113" s="21"/>
      <c r="RW113" s="21"/>
      <c r="RX113" s="21"/>
      <c r="RY113" s="21"/>
      <c r="RZ113" s="21"/>
      <c r="SA113" s="21"/>
      <c r="SB113" s="21"/>
      <c r="SC113" s="21"/>
      <c r="SD113" s="21"/>
      <c r="SE113" s="21"/>
      <c r="SF113" s="21"/>
      <c r="SG113" s="21"/>
      <c r="SH113" s="21"/>
      <c r="SI113" s="21"/>
      <c r="SJ113" s="21"/>
      <c r="SK113" s="21"/>
      <c r="SL113" s="21"/>
      <c r="SM113" s="21"/>
      <c r="SN113" s="21"/>
      <c r="SO113" s="21"/>
      <c r="SP113" s="21"/>
      <c r="SQ113" s="21"/>
      <c r="SR113" s="21"/>
      <c r="SS113" s="21"/>
      <c r="ST113" s="21"/>
      <c r="SU113" s="21"/>
      <c r="SV113" s="21"/>
      <c r="SW113" s="21"/>
      <c r="SX113" s="21"/>
      <c r="SY113" s="21"/>
      <c r="SZ113" s="21"/>
      <c r="TA113" s="21"/>
      <c r="TB113" s="21"/>
      <c r="TC113" s="21"/>
      <c r="TD113" s="21"/>
      <c r="TE113" s="21"/>
      <c r="TF113" s="21"/>
      <c r="TG113" s="21"/>
      <c r="TH113" s="21"/>
      <c r="TI113" s="21"/>
      <c r="TJ113" s="21"/>
      <c r="TK113" s="21"/>
      <c r="TL113" s="21"/>
      <c r="TM113" s="21"/>
      <c r="TN113" s="21"/>
      <c r="TO113" s="21"/>
      <c r="TP113" s="21"/>
      <c r="TQ113" s="21"/>
      <c r="TR113" s="21"/>
      <c r="TS113" s="21"/>
      <c r="TT113" s="21"/>
      <c r="TU113" s="21"/>
      <c r="TV113" s="21"/>
      <c r="TW113" s="21"/>
      <c r="TX113" s="21"/>
      <c r="TY113" s="21"/>
      <c r="TZ113" s="21"/>
      <c r="UA113" s="21"/>
      <c r="UB113" s="21"/>
      <c r="UC113" s="21"/>
      <c r="UD113" s="21"/>
      <c r="UE113" s="21"/>
      <c r="UF113" s="21"/>
      <c r="UG113" s="21"/>
      <c r="UH113" s="21"/>
      <c r="UI113" s="21"/>
      <c r="UJ113" s="21"/>
      <c r="UK113" s="21"/>
      <c r="UL113" s="21"/>
      <c r="UM113" s="21"/>
      <c r="UN113" s="21"/>
      <c r="UO113" s="21"/>
      <c r="UP113" s="21"/>
      <c r="UQ113" s="21"/>
      <c r="UR113" s="21"/>
      <c r="US113" s="21"/>
      <c r="UT113" s="21"/>
      <c r="UU113" s="21"/>
      <c r="UV113" s="21"/>
      <c r="UW113" s="21"/>
      <c r="UX113" s="21"/>
      <c r="UY113" s="21"/>
      <c r="UZ113" s="21"/>
      <c r="VA113" s="21"/>
      <c r="VB113" s="21"/>
      <c r="VC113" s="21"/>
      <c r="VD113" s="21"/>
      <c r="VE113" s="21"/>
      <c r="VF113" s="21"/>
      <c r="VG113" s="21"/>
      <c r="VH113" s="21"/>
      <c r="VI113" s="21"/>
      <c r="VJ113" s="21"/>
      <c r="VK113" s="21"/>
      <c r="VL113" s="21"/>
      <c r="VM113" s="21"/>
      <c r="VN113" s="21"/>
      <c r="VO113" s="21"/>
      <c r="VP113" s="21"/>
      <c r="VQ113" s="21"/>
      <c r="VR113" s="21"/>
      <c r="VS113" s="21"/>
      <c r="VT113" s="21"/>
      <c r="VU113" s="21"/>
      <c r="VV113" s="21"/>
      <c r="VW113" s="21"/>
      <c r="VX113" s="21"/>
      <c r="VY113" s="21"/>
      <c r="VZ113" s="21"/>
      <c r="WA113" s="21"/>
      <c r="WB113" s="21"/>
      <c r="WC113" s="21"/>
      <c r="WD113" s="21"/>
      <c r="WE113" s="21"/>
      <c r="WF113" s="21"/>
      <c r="WG113" s="21"/>
      <c r="WH113" s="21"/>
      <c r="WI113" s="21"/>
      <c r="WJ113" s="21"/>
      <c r="WK113" s="21"/>
      <c r="WL113" s="21"/>
      <c r="WM113" s="21"/>
      <c r="WN113" s="21"/>
      <c r="WO113" s="21"/>
      <c r="WP113" s="21"/>
      <c r="WQ113" s="21"/>
      <c r="WR113" s="21"/>
      <c r="WS113" s="21"/>
      <c r="WT113" s="21"/>
      <c r="WU113" s="21"/>
      <c r="WV113" s="21"/>
      <c r="WW113" s="21"/>
      <c r="WX113" s="21"/>
      <c r="WY113" s="21"/>
      <c r="WZ113" s="21"/>
      <c r="XA113" s="21"/>
      <c r="XB113" s="21"/>
      <c r="XC113" s="21"/>
      <c r="XD113" s="21"/>
      <c r="XE113" s="21"/>
      <c r="XF113" s="21"/>
      <c r="XG113" s="21"/>
      <c r="XH113" s="21"/>
      <c r="XI113" s="21"/>
      <c r="XJ113" s="21"/>
      <c r="XK113" s="21"/>
      <c r="XL113" s="21"/>
      <c r="XM113" s="21"/>
      <c r="XN113" s="21"/>
      <c r="XO113" s="21"/>
      <c r="XP113" s="21"/>
      <c r="XQ113" s="21"/>
      <c r="XR113" s="21"/>
      <c r="XS113" s="21"/>
      <c r="XT113" s="21"/>
      <c r="XU113" s="21"/>
      <c r="XV113" s="21"/>
      <c r="XW113" s="21"/>
      <c r="XX113" s="21"/>
      <c r="XY113" s="21"/>
      <c r="XZ113" s="21"/>
      <c r="YA113" s="21"/>
      <c r="YB113" s="21"/>
      <c r="YC113" s="21"/>
      <c r="YD113" s="21"/>
      <c r="YE113" s="21"/>
      <c r="YF113" s="21"/>
      <c r="YG113" s="21"/>
      <c r="YH113" s="21"/>
      <c r="YI113" s="21"/>
      <c r="YJ113" s="21"/>
      <c r="YK113" s="21"/>
      <c r="YL113" s="21"/>
      <c r="YM113" s="21"/>
      <c r="YN113" s="21"/>
      <c r="YO113" s="21"/>
      <c r="YP113" s="21"/>
      <c r="YQ113" s="21"/>
      <c r="YR113" s="21"/>
      <c r="YS113" s="21"/>
      <c r="YT113" s="21"/>
      <c r="YU113" s="21"/>
      <c r="YV113" s="21"/>
      <c r="YW113" s="21"/>
      <c r="YX113" s="21"/>
      <c r="YY113" s="21"/>
      <c r="YZ113" s="21"/>
      <c r="ZA113" s="21"/>
      <c r="ZB113" s="21"/>
      <c r="ZC113" s="21"/>
      <c r="ZD113" s="21"/>
      <c r="ZE113" s="21"/>
      <c r="ZF113" s="21"/>
      <c r="ZG113" s="21"/>
      <c r="ZH113" s="21"/>
      <c r="ZI113" s="21"/>
      <c r="ZJ113" s="21"/>
      <c r="ZK113" s="21"/>
      <c r="ZL113" s="21"/>
      <c r="ZM113" s="21"/>
      <c r="ZN113" s="21"/>
      <c r="ZO113" s="21"/>
      <c r="ZP113" s="21"/>
      <c r="ZQ113" s="21"/>
      <c r="ZR113" s="21"/>
      <c r="ZS113" s="21"/>
      <c r="ZT113" s="21"/>
      <c r="ZU113" s="21"/>
      <c r="ZV113" s="21"/>
      <c r="ZW113" s="21"/>
      <c r="ZX113" s="21"/>
      <c r="ZY113" s="21"/>
      <c r="ZZ113" s="21"/>
      <c r="AAA113" s="21"/>
      <c r="AAB113" s="21"/>
      <c r="AAC113" s="21"/>
      <c r="AAD113" s="21"/>
      <c r="AAE113" s="21"/>
      <c r="AAF113" s="21"/>
      <c r="AAG113" s="21"/>
      <c r="AAH113" s="21"/>
      <c r="AAI113" s="21"/>
      <c r="AAJ113" s="21"/>
      <c r="AAK113" s="21"/>
      <c r="AAL113" s="21"/>
      <c r="AAM113" s="21"/>
      <c r="AAN113" s="21"/>
      <c r="AAO113" s="21"/>
      <c r="AAP113" s="21"/>
      <c r="AAQ113" s="21"/>
      <c r="AAR113" s="21"/>
      <c r="AAS113" s="21"/>
      <c r="AAT113" s="21"/>
      <c r="AAU113" s="21"/>
      <c r="AAV113" s="21"/>
      <c r="AAW113" s="21"/>
      <c r="AAX113" s="21"/>
      <c r="AAY113" s="21"/>
      <c r="AAZ113" s="21"/>
      <c r="ABA113" s="21"/>
      <c r="ABB113" s="21"/>
      <c r="ABC113" s="21"/>
      <c r="ABD113" s="21"/>
      <c r="ABE113" s="21"/>
      <c r="ABF113" s="21"/>
      <c r="ABG113" s="21"/>
      <c r="ABH113" s="21"/>
      <c r="ABI113" s="21"/>
      <c r="ABJ113" s="21"/>
      <c r="ABK113" s="21"/>
      <c r="ABL113" s="21"/>
      <c r="ABM113" s="21"/>
      <c r="ABN113" s="21"/>
      <c r="ABO113" s="21"/>
      <c r="ABP113" s="21"/>
      <c r="ABQ113" s="21"/>
      <c r="ABR113" s="21"/>
      <c r="ABS113" s="21"/>
      <c r="ABT113" s="21"/>
      <c r="ABU113" s="21"/>
      <c r="ABV113" s="21"/>
      <c r="ABW113" s="21"/>
      <c r="ABX113" s="21"/>
      <c r="ABY113" s="21"/>
      <c r="ABZ113" s="21"/>
      <c r="ACA113" s="21"/>
      <c r="ACB113" s="21"/>
      <c r="ACC113" s="21"/>
      <c r="ACD113" s="21"/>
      <c r="ACE113" s="21"/>
      <c r="ACF113" s="21"/>
      <c r="ACG113" s="21"/>
      <c r="ACH113" s="21"/>
      <c r="ACI113" s="21"/>
      <c r="ACJ113" s="21"/>
      <c r="ACK113" s="21"/>
      <c r="ACL113" s="21"/>
      <c r="ACM113" s="21"/>
      <c r="ACN113" s="21"/>
      <c r="ACO113" s="21"/>
      <c r="ACP113" s="21"/>
      <c r="ACQ113" s="21"/>
      <c r="ACR113" s="21"/>
      <c r="ACS113" s="21"/>
      <c r="ACT113" s="21"/>
      <c r="ACU113" s="21"/>
      <c r="ACV113" s="21"/>
      <c r="ACW113" s="21"/>
      <c r="ACX113" s="21"/>
      <c r="ACY113" s="21"/>
      <c r="ACZ113" s="21"/>
      <c r="ADA113" s="21"/>
      <c r="ADB113" s="21"/>
      <c r="ADC113" s="21"/>
      <c r="ADD113" s="21"/>
      <c r="ADE113" s="21"/>
      <c r="ADF113" s="21"/>
      <c r="ADG113" s="21"/>
      <c r="ADH113" s="21"/>
      <c r="ADI113" s="21"/>
      <c r="ADJ113" s="21"/>
      <c r="ADK113" s="21"/>
      <c r="ADL113" s="21"/>
      <c r="ADM113" s="21"/>
      <c r="ADN113" s="21"/>
      <c r="ADO113" s="21"/>
      <c r="ADP113" s="21"/>
      <c r="ADQ113" s="21"/>
      <c r="ADR113" s="21"/>
      <c r="ADS113" s="21"/>
      <c r="ADT113" s="21"/>
      <c r="ADU113" s="21"/>
      <c r="ADV113" s="21"/>
      <c r="ADW113" s="21"/>
      <c r="ADX113" s="21"/>
      <c r="ADY113" s="21"/>
      <c r="ADZ113" s="21"/>
      <c r="AEA113" s="21"/>
      <c r="AEB113" s="21"/>
      <c r="AEC113" s="21"/>
      <c r="AED113" s="21"/>
      <c r="AEE113" s="21"/>
      <c r="AEF113" s="21"/>
      <c r="AEG113" s="21"/>
    </row>
    <row r="114" spans="1:813" s="93" customFormat="1" ht="45" x14ac:dyDescent="0.25">
      <c r="A114" s="179"/>
      <c r="B114" s="183"/>
      <c r="C114" s="34" t="s">
        <v>222</v>
      </c>
      <c r="D114" s="74" t="s">
        <v>221</v>
      </c>
      <c r="E114" s="36" t="s">
        <v>220</v>
      </c>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c r="AF114" s="171"/>
      <c r="AG114" s="212"/>
      <c r="AH114" s="212"/>
      <c r="AI114" s="175"/>
      <c r="AJ114" s="214"/>
      <c r="AK114" s="214"/>
      <c r="AL114" s="214"/>
      <c r="AM114" s="213"/>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c r="EC114" s="21"/>
      <c r="ED114" s="21"/>
      <c r="EE114" s="21"/>
      <c r="EF114" s="21"/>
      <c r="EG114" s="21"/>
      <c r="EH114" s="21"/>
      <c r="EI114" s="21"/>
      <c r="EJ114" s="21"/>
      <c r="EK114" s="21"/>
      <c r="EL114" s="21"/>
      <c r="EM114" s="21"/>
      <c r="EN114" s="21"/>
      <c r="EO114" s="21"/>
      <c r="EP114" s="21"/>
      <c r="EQ114" s="21"/>
      <c r="ER114" s="21"/>
      <c r="ES114" s="21"/>
      <c r="ET114" s="21"/>
      <c r="EU114" s="21"/>
      <c r="EV114" s="21"/>
      <c r="EW114" s="21"/>
      <c r="EX114" s="21"/>
      <c r="EY114" s="21"/>
      <c r="EZ114" s="21"/>
      <c r="FA114" s="21"/>
      <c r="FB114" s="21"/>
      <c r="FC114" s="21"/>
      <c r="FD114" s="21"/>
      <c r="FE114" s="21"/>
      <c r="FF114" s="21"/>
      <c r="FG114" s="21"/>
      <c r="FH114" s="21"/>
      <c r="FI114" s="21"/>
      <c r="FJ114" s="21"/>
      <c r="FK114" s="21"/>
      <c r="FL114" s="21"/>
      <c r="FM114" s="21"/>
      <c r="FN114" s="21"/>
      <c r="FO114" s="21"/>
      <c r="FP114" s="21"/>
      <c r="FQ114" s="21"/>
      <c r="FR114" s="21"/>
      <c r="FS114" s="21"/>
      <c r="FT114" s="21"/>
      <c r="FU114" s="21"/>
      <c r="FV114" s="21"/>
      <c r="FW114" s="21"/>
      <c r="FX114" s="21"/>
      <c r="FY114" s="21"/>
      <c r="FZ114" s="21"/>
      <c r="GA114" s="21"/>
      <c r="GB114" s="21"/>
      <c r="GC114" s="21"/>
      <c r="GD114" s="21"/>
      <c r="GE114" s="21"/>
      <c r="GF114" s="21"/>
      <c r="GG114" s="21"/>
      <c r="GH114" s="21"/>
      <c r="GI114" s="21"/>
      <c r="GJ114" s="21"/>
      <c r="GK114" s="21"/>
      <c r="GL114" s="21"/>
      <c r="GM114" s="21"/>
      <c r="GN114" s="21"/>
      <c r="GO114" s="21"/>
      <c r="GP114" s="21"/>
      <c r="GQ114" s="21"/>
      <c r="GR114" s="21"/>
      <c r="GS114" s="21"/>
      <c r="GT114" s="21"/>
      <c r="GU114" s="21"/>
      <c r="GV114" s="21"/>
      <c r="GW114" s="21"/>
      <c r="GX114" s="21"/>
      <c r="GY114" s="21"/>
      <c r="GZ114" s="21"/>
      <c r="HA114" s="21"/>
      <c r="HB114" s="21"/>
      <c r="HC114" s="21"/>
      <c r="HD114" s="21"/>
      <c r="HE114" s="21"/>
      <c r="HF114" s="21"/>
      <c r="HG114" s="21"/>
      <c r="HH114" s="21"/>
      <c r="HI114" s="21"/>
      <c r="HJ114" s="21"/>
      <c r="HK114" s="21"/>
      <c r="HL114" s="21"/>
      <c r="HM114" s="21"/>
      <c r="HN114" s="21"/>
      <c r="HO114" s="21"/>
      <c r="HP114" s="21"/>
      <c r="HQ114" s="21"/>
      <c r="HR114" s="21"/>
      <c r="HS114" s="21"/>
      <c r="HT114" s="21"/>
      <c r="HU114" s="21"/>
      <c r="HV114" s="21"/>
      <c r="HW114" s="21"/>
      <c r="HX114" s="21"/>
      <c r="HY114" s="21"/>
      <c r="HZ114" s="21"/>
      <c r="IA114" s="21"/>
      <c r="IB114" s="21"/>
      <c r="IC114" s="21"/>
      <c r="ID114" s="21"/>
      <c r="IE114" s="21"/>
      <c r="IF114" s="21"/>
      <c r="IG114" s="21"/>
      <c r="IH114" s="21"/>
      <c r="II114" s="21"/>
      <c r="IJ114" s="21"/>
      <c r="IK114" s="21"/>
      <c r="IL114" s="21"/>
      <c r="IM114" s="21"/>
      <c r="IN114" s="21"/>
      <c r="IO114" s="21"/>
      <c r="IP114" s="21"/>
      <c r="IQ114" s="21"/>
      <c r="IR114" s="21"/>
      <c r="IS114" s="21"/>
      <c r="IT114" s="21"/>
      <c r="IU114" s="21"/>
      <c r="IV114" s="21"/>
      <c r="IW114" s="21"/>
      <c r="IX114" s="21"/>
      <c r="IY114" s="21"/>
      <c r="IZ114" s="21"/>
      <c r="JA114" s="21"/>
      <c r="JB114" s="21"/>
      <c r="JC114" s="21"/>
      <c r="JD114" s="21"/>
      <c r="JE114" s="21"/>
      <c r="JF114" s="21"/>
      <c r="JG114" s="21"/>
      <c r="JH114" s="21"/>
      <c r="JI114" s="21"/>
      <c r="JJ114" s="21"/>
      <c r="JK114" s="21"/>
      <c r="JL114" s="21"/>
      <c r="JM114" s="21"/>
      <c r="JN114" s="21"/>
      <c r="JO114" s="21"/>
      <c r="JP114" s="21"/>
      <c r="JQ114" s="21"/>
      <c r="JR114" s="21"/>
      <c r="JS114" s="21"/>
      <c r="JT114" s="21"/>
      <c r="JU114" s="21"/>
      <c r="JV114" s="21"/>
      <c r="JW114" s="21"/>
      <c r="JX114" s="21"/>
      <c r="JY114" s="21"/>
      <c r="JZ114" s="21"/>
      <c r="KA114" s="21"/>
      <c r="KB114" s="21"/>
      <c r="KC114" s="21"/>
      <c r="KD114" s="21"/>
      <c r="KE114" s="21"/>
      <c r="KF114" s="21"/>
      <c r="KG114" s="21"/>
      <c r="KH114" s="21"/>
      <c r="KI114" s="21"/>
      <c r="KJ114" s="21"/>
      <c r="KK114" s="21"/>
      <c r="KL114" s="21"/>
      <c r="KM114" s="21"/>
      <c r="KN114" s="21"/>
      <c r="KO114" s="21"/>
      <c r="KP114" s="21"/>
      <c r="KQ114" s="21"/>
      <c r="KR114" s="21"/>
      <c r="KS114" s="21"/>
      <c r="KT114" s="21"/>
      <c r="KU114" s="21"/>
      <c r="KV114" s="21"/>
      <c r="KW114" s="21"/>
      <c r="KX114" s="21"/>
      <c r="KY114" s="21"/>
      <c r="KZ114" s="21"/>
      <c r="LA114" s="21"/>
      <c r="LB114" s="21"/>
      <c r="LC114" s="21"/>
      <c r="LD114" s="21"/>
      <c r="LE114" s="21"/>
      <c r="LF114" s="21"/>
      <c r="LG114" s="21"/>
      <c r="LH114" s="21"/>
      <c r="LI114" s="21"/>
      <c r="LJ114" s="21"/>
      <c r="LK114" s="21"/>
      <c r="LL114" s="21"/>
      <c r="LM114" s="21"/>
      <c r="LN114" s="21"/>
      <c r="LO114" s="21"/>
      <c r="LP114" s="21"/>
      <c r="LQ114" s="21"/>
      <c r="LR114" s="21"/>
      <c r="LS114" s="21"/>
      <c r="LT114" s="21"/>
      <c r="LU114" s="21"/>
      <c r="LV114" s="21"/>
      <c r="LW114" s="21"/>
      <c r="LX114" s="21"/>
      <c r="LY114" s="21"/>
      <c r="LZ114" s="21"/>
      <c r="MA114" s="21"/>
      <c r="MB114" s="21"/>
      <c r="MC114" s="21"/>
      <c r="MD114" s="21"/>
      <c r="ME114" s="21"/>
      <c r="MF114" s="21"/>
      <c r="MG114" s="21"/>
      <c r="MH114" s="21"/>
      <c r="MI114" s="21"/>
      <c r="MJ114" s="21"/>
      <c r="MK114" s="21"/>
      <c r="ML114" s="21"/>
      <c r="MM114" s="21"/>
      <c r="MN114" s="21"/>
      <c r="MO114" s="21"/>
      <c r="MP114" s="21"/>
      <c r="MQ114" s="21"/>
      <c r="MR114" s="21"/>
      <c r="MS114" s="21"/>
      <c r="MT114" s="21"/>
      <c r="MU114" s="21"/>
      <c r="MV114" s="21"/>
      <c r="MW114" s="21"/>
      <c r="MX114" s="21"/>
      <c r="MY114" s="21"/>
      <c r="MZ114" s="21"/>
      <c r="NA114" s="21"/>
      <c r="NB114" s="21"/>
      <c r="NC114" s="21"/>
      <c r="ND114" s="21"/>
      <c r="NE114" s="21"/>
      <c r="NF114" s="21"/>
      <c r="NG114" s="21"/>
      <c r="NH114" s="21"/>
      <c r="NI114" s="21"/>
      <c r="NJ114" s="21"/>
      <c r="NK114" s="21"/>
      <c r="NL114" s="21"/>
      <c r="NM114" s="21"/>
      <c r="NN114" s="21"/>
      <c r="NO114" s="21"/>
      <c r="NP114" s="21"/>
      <c r="NQ114" s="21"/>
      <c r="NR114" s="21"/>
      <c r="NS114" s="21"/>
      <c r="NT114" s="21"/>
      <c r="NU114" s="21"/>
      <c r="NV114" s="21"/>
      <c r="NW114" s="21"/>
      <c r="NX114" s="21"/>
      <c r="NY114" s="21"/>
      <c r="NZ114" s="21"/>
      <c r="OA114" s="21"/>
      <c r="OB114" s="21"/>
      <c r="OC114" s="21"/>
      <c r="OD114" s="21"/>
      <c r="OE114" s="21"/>
      <c r="OF114" s="21"/>
      <c r="OG114" s="21"/>
      <c r="OH114" s="21"/>
      <c r="OI114" s="21"/>
      <c r="OJ114" s="21"/>
      <c r="OK114" s="21"/>
      <c r="OL114" s="21"/>
      <c r="OM114" s="21"/>
      <c r="ON114" s="21"/>
      <c r="OO114" s="21"/>
      <c r="OP114" s="21"/>
      <c r="OQ114" s="21"/>
      <c r="OR114" s="21"/>
      <c r="OS114" s="21"/>
      <c r="OT114" s="21"/>
      <c r="OU114" s="21"/>
      <c r="OV114" s="21"/>
      <c r="OW114" s="21"/>
      <c r="OX114" s="21"/>
      <c r="OY114" s="21"/>
      <c r="OZ114" s="21"/>
      <c r="PA114" s="21"/>
      <c r="PB114" s="21"/>
      <c r="PC114" s="21"/>
      <c r="PD114" s="21"/>
      <c r="PE114" s="21"/>
      <c r="PF114" s="21"/>
      <c r="PG114" s="21"/>
      <c r="PH114" s="21"/>
      <c r="PI114" s="21"/>
      <c r="PJ114" s="21"/>
      <c r="PK114" s="21"/>
      <c r="PL114" s="21"/>
      <c r="PM114" s="21"/>
      <c r="PN114" s="21"/>
      <c r="PO114" s="21"/>
      <c r="PP114" s="21"/>
      <c r="PQ114" s="21"/>
      <c r="PR114" s="21"/>
      <c r="PS114" s="21"/>
      <c r="PT114" s="21"/>
      <c r="PU114" s="21"/>
      <c r="PV114" s="21"/>
      <c r="PW114" s="21"/>
      <c r="PX114" s="21"/>
      <c r="PY114" s="21"/>
      <c r="PZ114" s="21"/>
      <c r="QA114" s="21"/>
      <c r="QB114" s="21"/>
      <c r="QC114" s="21"/>
      <c r="QD114" s="21"/>
      <c r="QE114" s="21"/>
      <c r="QF114" s="21"/>
      <c r="QG114" s="21"/>
      <c r="QH114" s="21"/>
      <c r="QI114" s="21"/>
      <c r="QJ114" s="21"/>
      <c r="QK114" s="21"/>
      <c r="QL114" s="21"/>
      <c r="QM114" s="21"/>
      <c r="QN114" s="21"/>
      <c r="QO114" s="21"/>
      <c r="QP114" s="21"/>
      <c r="QQ114" s="21"/>
      <c r="QR114" s="21"/>
      <c r="QS114" s="21"/>
      <c r="QT114" s="21"/>
      <c r="QU114" s="21"/>
      <c r="QV114" s="21"/>
      <c r="QW114" s="21"/>
      <c r="QX114" s="21"/>
      <c r="QY114" s="21"/>
      <c r="QZ114" s="21"/>
      <c r="RA114" s="21"/>
      <c r="RB114" s="21"/>
      <c r="RC114" s="21"/>
      <c r="RD114" s="21"/>
      <c r="RE114" s="21"/>
      <c r="RF114" s="21"/>
      <c r="RG114" s="21"/>
      <c r="RH114" s="21"/>
      <c r="RI114" s="21"/>
      <c r="RJ114" s="21"/>
      <c r="RK114" s="21"/>
      <c r="RL114" s="21"/>
      <c r="RM114" s="21"/>
      <c r="RN114" s="21"/>
      <c r="RO114" s="21"/>
      <c r="RP114" s="21"/>
      <c r="RQ114" s="21"/>
      <c r="RR114" s="21"/>
      <c r="RS114" s="21"/>
      <c r="RT114" s="21"/>
      <c r="RU114" s="21"/>
      <c r="RV114" s="21"/>
      <c r="RW114" s="21"/>
      <c r="RX114" s="21"/>
      <c r="RY114" s="21"/>
      <c r="RZ114" s="21"/>
      <c r="SA114" s="21"/>
      <c r="SB114" s="21"/>
      <c r="SC114" s="21"/>
      <c r="SD114" s="21"/>
      <c r="SE114" s="21"/>
      <c r="SF114" s="21"/>
      <c r="SG114" s="21"/>
      <c r="SH114" s="21"/>
      <c r="SI114" s="21"/>
      <c r="SJ114" s="21"/>
      <c r="SK114" s="21"/>
      <c r="SL114" s="21"/>
      <c r="SM114" s="21"/>
      <c r="SN114" s="21"/>
      <c r="SO114" s="21"/>
      <c r="SP114" s="21"/>
      <c r="SQ114" s="21"/>
      <c r="SR114" s="21"/>
      <c r="SS114" s="21"/>
      <c r="ST114" s="21"/>
      <c r="SU114" s="21"/>
      <c r="SV114" s="21"/>
      <c r="SW114" s="21"/>
      <c r="SX114" s="21"/>
      <c r="SY114" s="21"/>
      <c r="SZ114" s="21"/>
      <c r="TA114" s="21"/>
      <c r="TB114" s="21"/>
      <c r="TC114" s="21"/>
      <c r="TD114" s="21"/>
      <c r="TE114" s="21"/>
      <c r="TF114" s="21"/>
      <c r="TG114" s="21"/>
      <c r="TH114" s="21"/>
      <c r="TI114" s="21"/>
      <c r="TJ114" s="21"/>
      <c r="TK114" s="21"/>
      <c r="TL114" s="21"/>
      <c r="TM114" s="21"/>
      <c r="TN114" s="21"/>
      <c r="TO114" s="21"/>
      <c r="TP114" s="21"/>
      <c r="TQ114" s="21"/>
      <c r="TR114" s="21"/>
      <c r="TS114" s="21"/>
      <c r="TT114" s="21"/>
      <c r="TU114" s="21"/>
      <c r="TV114" s="21"/>
      <c r="TW114" s="21"/>
      <c r="TX114" s="21"/>
      <c r="TY114" s="21"/>
      <c r="TZ114" s="21"/>
      <c r="UA114" s="21"/>
      <c r="UB114" s="21"/>
      <c r="UC114" s="21"/>
      <c r="UD114" s="21"/>
      <c r="UE114" s="21"/>
      <c r="UF114" s="21"/>
      <c r="UG114" s="21"/>
      <c r="UH114" s="21"/>
      <c r="UI114" s="21"/>
      <c r="UJ114" s="21"/>
      <c r="UK114" s="21"/>
      <c r="UL114" s="21"/>
      <c r="UM114" s="21"/>
      <c r="UN114" s="21"/>
      <c r="UO114" s="21"/>
      <c r="UP114" s="21"/>
      <c r="UQ114" s="21"/>
      <c r="UR114" s="21"/>
      <c r="US114" s="21"/>
      <c r="UT114" s="21"/>
      <c r="UU114" s="21"/>
      <c r="UV114" s="21"/>
      <c r="UW114" s="21"/>
      <c r="UX114" s="21"/>
      <c r="UY114" s="21"/>
      <c r="UZ114" s="21"/>
      <c r="VA114" s="21"/>
      <c r="VB114" s="21"/>
      <c r="VC114" s="21"/>
      <c r="VD114" s="21"/>
      <c r="VE114" s="21"/>
      <c r="VF114" s="21"/>
      <c r="VG114" s="21"/>
      <c r="VH114" s="21"/>
      <c r="VI114" s="21"/>
      <c r="VJ114" s="21"/>
      <c r="VK114" s="21"/>
      <c r="VL114" s="21"/>
      <c r="VM114" s="21"/>
      <c r="VN114" s="21"/>
      <c r="VO114" s="21"/>
      <c r="VP114" s="21"/>
      <c r="VQ114" s="21"/>
      <c r="VR114" s="21"/>
      <c r="VS114" s="21"/>
      <c r="VT114" s="21"/>
      <c r="VU114" s="21"/>
      <c r="VV114" s="21"/>
      <c r="VW114" s="21"/>
      <c r="VX114" s="21"/>
      <c r="VY114" s="21"/>
      <c r="VZ114" s="21"/>
      <c r="WA114" s="21"/>
      <c r="WB114" s="21"/>
      <c r="WC114" s="21"/>
      <c r="WD114" s="21"/>
      <c r="WE114" s="21"/>
      <c r="WF114" s="21"/>
      <c r="WG114" s="21"/>
      <c r="WH114" s="21"/>
      <c r="WI114" s="21"/>
      <c r="WJ114" s="21"/>
      <c r="WK114" s="21"/>
      <c r="WL114" s="21"/>
      <c r="WM114" s="21"/>
      <c r="WN114" s="21"/>
      <c r="WO114" s="21"/>
      <c r="WP114" s="21"/>
      <c r="WQ114" s="21"/>
      <c r="WR114" s="21"/>
      <c r="WS114" s="21"/>
      <c r="WT114" s="21"/>
      <c r="WU114" s="21"/>
      <c r="WV114" s="21"/>
      <c r="WW114" s="21"/>
      <c r="WX114" s="21"/>
      <c r="WY114" s="21"/>
      <c r="WZ114" s="21"/>
      <c r="XA114" s="21"/>
      <c r="XB114" s="21"/>
      <c r="XC114" s="21"/>
      <c r="XD114" s="21"/>
      <c r="XE114" s="21"/>
      <c r="XF114" s="21"/>
      <c r="XG114" s="21"/>
      <c r="XH114" s="21"/>
      <c r="XI114" s="21"/>
      <c r="XJ114" s="21"/>
      <c r="XK114" s="21"/>
      <c r="XL114" s="21"/>
      <c r="XM114" s="21"/>
      <c r="XN114" s="21"/>
      <c r="XO114" s="21"/>
      <c r="XP114" s="21"/>
      <c r="XQ114" s="21"/>
      <c r="XR114" s="21"/>
      <c r="XS114" s="21"/>
      <c r="XT114" s="21"/>
      <c r="XU114" s="21"/>
      <c r="XV114" s="21"/>
      <c r="XW114" s="21"/>
      <c r="XX114" s="21"/>
      <c r="XY114" s="21"/>
      <c r="XZ114" s="21"/>
      <c r="YA114" s="21"/>
      <c r="YB114" s="21"/>
      <c r="YC114" s="21"/>
      <c r="YD114" s="21"/>
      <c r="YE114" s="21"/>
      <c r="YF114" s="21"/>
      <c r="YG114" s="21"/>
      <c r="YH114" s="21"/>
      <c r="YI114" s="21"/>
      <c r="YJ114" s="21"/>
      <c r="YK114" s="21"/>
      <c r="YL114" s="21"/>
      <c r="YM114" s="21"/>
      <c r="YN114" s="21"/>
      <c r="YO114" s="21"/>
      <c r="YP114" s="21"/>
      <c r="YQ114" s="21"/>
      <c r="YR114" s="21"/>
      <c r="YS114" s="21"/>
      <c r="YT114" s="21"/>
      <c r="YU114" s="21"/>
      <c r="YV114" s="21"/>
      <c r="YW114" s="21"/>
      <c r="YX114" s="21"/>
      <c r="YY114" s="21"/>
      <c r="YZ114" s="21"/>
      <c r="ZA114" s="21"/>
      <c r="ZB114" s="21"/>
      <c r="ZC114" s="21"/>
      <c r="ZD114" s="21"/>
      <c r="ZE114" s="21"/>
      <c r="ZF114" s="21"/>
      <c r="ZG114" s="21"/>
      <c r="ZH114" s="21"/>
      <c r="ZI114" s="21"/>
      <c r="ZJ114" s="21"/>
      <c r="ZK114" s="21"/>
      <c r="ZL114" s="21"/>
      <c r="ZM114" s="21"/>
      <c r="ZN114" s="21"/>
      <c r="ZO114" s="21"/>
      <c r="ZP114" s="21"/>
      <c r="ZQ114" s="21"/>
      <c r="ZR114" s="21"/>
      <c r="ZS114" s="21"/>
      <c r="ZT114" s="21"/>
      <c r="ZU114" s="21"/>
      <c r="ZV114" s="21"/>
      <c r="ZW114" s="21"/>
      <c r="ZX114" s="21"/>
      <c r="ZY114" s="21"/>
      <c r="ZZ114" s="21"/>
      <c r="AAA114" s="21"/>
      <c r="AAB114" s="21"/>
      <c r="AAC114" s="21"/>
      <c r="AAD114" s="21"/>
      <c r="AAE114" s="21"/>
      <c r="AAF114" s="21"/>
      <c r="AAG114" s="21"/>
      <c r="AAH114" s="21"/>
      <c r="AAI114" s="21"/>
      <c r="AAJ114" s="21"/>
      <c r="AAK114" s="21"/>
      <c r="AAL114" s="21"/>
      <c r="AAM114" s="21"/>
      <c r="AAN114" s="21"/>
      <c r="AAO114" s="21"/>
      <c r="AAP114" s="21"/>
      <c r="AAQ114" s="21"/>
      <c r="AAR114" s="21"/>
      <c r="AAS114" s="21"/>
      <c r="AAT114" s="21"/>
      <c r="AAU114" s="21"/>
      <c r="AAV114" s="21"/>
      <c r="AAW114" s="21"/>
      <c r="AAX114" s="21"/>
      <c r="AAY114" s="21"/>
      <c r="AAZ114" s="21"/>
      <c r="ABA114" s="21"/>
      <c r="ABB114" s="21"/>
      <c r="ABC114" s="21"/>
      <c r="ABD114" s="21"/>
      <c r="ABE114" s="21"/>
      <c r="ABF114" s="21"/>
      <c r="ABG114" s="21"/>
      <c r="ABH114" s="21"/>
      <c r="ABI114" s="21"/>
      <c r="ABJ114" s="21"/>
      <c r="ABK114" s="21"/>
      <c r="ABL114" s="21"/>
      <c r="ABM114" s="21"/>
      <c r="ABN114" s="21"/>
      <c r="ABO114" s="21"/>
      <c r="ABP114" s="21"/>
      <c r="ABQ114" s="21"/>
      <c r="ABR114" s="21"/>
      <c r="ABS114" s="21"/>
      <c r="ABT114" s="21"/>
      <c r="ABU114" s="21"/>
      <c r="ABV114" s="21"/>
      <c r="ABW114" s="21"/>
      <c r="ABX114" s="21"/>
      <c r="ABY114" s="21"/>
      <c r="ABZ114" s="21"/>
      <c r="ACA114" s="21"/>
      <c r="ACB114" s="21"/>
      <c r="ACC114" s="21"/>
      <c r="ACD114" s="21"/>
      <c r="ACE114" s="21"/>
      <c r="ACF114" s="21"/>
      <c r="ACG114" s="21"/>
      <c r="ACH114" s="21"/>
      <c r="ACI114" s="21"/>
      <c r="ACJ114" s="21"/>
      <c r="ACK114" s="21"/>
      <c r="ACL114" s="21"/>
      <c r="ACM114" s="21"/>
      <c r="ACN114" s="21"/>
      <c r="ACO114" s="21"/>
      <c r="ACP114" s="21"/>
      <c r="ACQ114" s="21"/>
      <c r="ACR114" s="21"/>
      <c r="ACS114" s="21"/>
      <c r="ACT114" s="21"/>
      <c r="ACU114" s="21"/>
      <c r="ACV114" s="21"/>
      <c r="ACW114" s="21"/>
      <c r="ACX114" s="21"/>
      <c r="ACY114" s="21"/>
      <c r="ACZ114" s="21"/>
      <c r="ADA114" s="21"/>
      <c r="ADB114" s="21"/>
      <c r="ADC114" s="21"/>
      <c r="ADD114" s="21"/>
      <c r="ADE114" s="21"/>
      <c r="ADF114" s="21"/>
      <c r="ADG114" s="21"/>
      <c r="ADH114" s="21"/>
      <c r="ADI114" s="21"/>
      <c r="ADJ114" s="21"/>
      <c r="ADK114" s="21"/>
      <c r="ADL114" s="21"/>
      <c r="ADM114" s="21"/>
      <c r="ADN114" s="21"/>
      <c r="ADO114" s="21"/>
      <c r="ADP114" s="21"/>
      <c r="ADQ114" s="21"/>
      <c r="ADR114" s="21"/>
      <c r="ADS114" s="21"/>
      <c r="ADT114" s="21"/>
      <c r="ADU114" s="21"/>
      <c r="ADV114" s="21"/>
      <c r="ADW114" s="21"/>
      <c r="ADX114" s="21"/>
      <c r="ADY114" s="21"/>
      <c r="ADZ114" s="21"/>
      <c r="AEA114" s="21"/>
      <c r="AEB114" s="21"/>
      <c r="AEC114" s="21"/>
      <c r="AED114" s="21"/>
      <c r="AEE114" s="21"/>
      <c r="AEF114" s="21"/>
      <c r="AEG114" s="21"/>
    </row>
    <row r="115" spans="1:813" s="93" customFormat="1" ht="60.75" thickBot="1" x14ac:dyDescent="0.3">
      <c r="A115" s="90">
        <v>44</v>
      </c>
      <c r="B115" s="60" t="s">
        <v>219</v>
      </c>
      <c r="C115" s="62" t="s">
        <v>218</v>
      </c>
      <c r="D115" s="60" t="s">
        <v>217</v>
      </c>
      <c r="E115" s="73" t="s">
        <v>216</v>
      </c>
      <c r="F115" s="110">
        <v>0</v>
      </c>
      <c r="G115" s="58">
        <v>0</v>
      </c>
      <c r="H115" s="33">
        <v>20</v>
      </c>
      <c r="I115" s="58">
        <v>0</v>
      </c>
      <c r="J115" s="33">
        <f>ROUND($F115*I115,-1)</f>
        <v>0</v>
      </c>
      <c r="K115" s="58">
        <v>0</v>
      </c>
      <c r="L115" s="33">
        <f>ROUND($F115*K115,-1)</f>
        <v>0</v>
      </c>
      <c r="M115" s="58">
        <v>0</v>
      </c>
      <c r="N115" s="33">
        <v>100</v>
      </c>
      <c r="O115" s="58">
        <v>0</v>
      </c>
      <c r="P115" s="59">
        <f>ROUND($F115*O115,-1)</f>
        <v>0</v>
      </c>
      <c r="Q115" s="58">
        <v>0</v>
      </c>
      <c r="R115" s="33">
        <v>5</v>
      </c>
      <c r="S115" s="58">
        <v>0</v>
      </c>
      <c r="T115" s="33">
        <v>20</v>
      </c>
      <c r="U115" s="58">
        <v>0</v>
      </c>
      <c r="V115" s="33">
        <v>20</v>
      </c>
      <c r="W115" s="58">
        <v>0</v>
      </c>
      <c r="X115" s="33">
        <f>ROUND($F115*W115,-1)</f>
        <v>0</v>
      </c>
      <c r="Y115" s="58">
        <v>0</v>
      </c>
      <c r="Z115" s="33">
        <v>30</v>
      </c>
      <c r="AA115" s="58">
        <v>0</v>
      </c>
      <c r="AB115" s="33">
        <v>10</v>
      </c>
      <c r="AC115" s="58">
        <v>0</v>
      </c>
      <c r="AD115" s="59">
        <v>40</v>
      </c>
      <c r="AE115" s="58"/>
      <c r="AF115" s="33">
        <f>H115+J115+L115+N115+P115+R115+T115+V115+X115+Z115+AB115+AD115</f>
        <v>245</v>
      </c>
      <c r="AG115" s="59">
        <v>0</v>
      </c>
      <c r="AH115" s="59">
        <v>0</v>
      </c>
      <c r="AI115" s="58">
        <v>210</v>
      </c>
      <c r="AJ115" s="57">
        <v>29976.726000343919</v>
      </c>
      <c r="AK115" s="57">
        <v>2441.8071248097276</v>
      </c>
      <c r="AL115" s="57">
        <v>32418.533125153648</v>
      </c>
      <c r="AM115" s="56" t="s">
        <v>18</v>
      </c>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c r="DA115" s="21"/>
      <c r="DB115" s="21"/>
      <c r="DC115" s="21"/>
      <c r="DD115" s="21"/>
      <c r="DE115" s="21"/>
      <c r="DF115" s="21"/>
      <c r="DG115" s="21"/>
      <c r="DH115" s="21"/>
      <c r="DI115" s="21"/>
      <c r="DJ115" s="21"/>
      <c r="DK115" s="21"/>
      <c r="DL115" s="21"/>
      <c r="DM115" s="21"/>
      <c r="DN115" s="21"/>
      <c r="DO115" s="21"/>
      <c r="DP115" s="21"/>
      <c r="DQ115" s="21"/>
      <c r="DR115" s="21"/>
      <c r="DS115" s="21"/>
      <c r="DT115" s="21"/>
      <c r="DU115" s="21"/>
      <c r="DV115" s="21"/>
      <c r="DW115" s="21"/>
      <c r="DX115" s="21"/>
      <c r="DY115" s="21"/>
      <c r="DZ115" s="21"/>
      <c r="EA115" s="21"/>
      <c r="EB115" s="21"/>
      <c r="EC115" s="21"/>
      <c r="ED115" s="21"/>
      <c r="EE115" s="21"/>
      <c r="EF115" s="21"/>
      <c r="EG115" s="21"/>
      <c r="EH115" s="21"/>
      <c r="EI115" s="21"/>
      <c r="EJ115" s="21"/>
      <c r="EK115" s="21"/>
      <c r="EL115" s="21"/>
      <c r="EM115" s="21"/>
      <c r="EN115" s="21"/>
      <c r="EO115" s="21"/>
      <c r="EP115" s="21"/>
      <c r="EQ115" s="21"/>
      <c r="ER115" s="21"/>
      <c r="ES115" s="21"/>
      <c r="ET115" s="21"/>
      <c r="EU115" s="21"/>
      <c r="EV115" s="21"/>
      <c r="EW115" s="21"/>
      <c r="EX115" s="21"/>
      <c r="EY115" s="21"/>
      <c r="EZ115" s="21"/>
      <c r="FA115" s="21"/>
      <c r="FB115" s="21"/>
      <c r="FC115" s="21"/>
      <c r="FD115" s="21"/>
      <c r="FE115" s="21"/>
      <c r="FF115" s="21"/>
      <c r="FG115" s="21"/>
      <c r="FH115" s="21"/>
      <c r="FI115" s="21"/>
      <c r="FJ115" s="21"/>
      <c r="FK115" s="21"/>
      <c r="FL115" s="21"/>
      <c r="FM115" s="21"/>
      <c r="FN115" s="21"/>
      <c r="FO115" s="21"/>
      <c r="FP115" s="21"/>
      <c r="FQ115" s="21"/>
      <c r="FR115" s="21"/>
      <c r="FS115" s="21"/>
      <c r="FT115" s="21"/>
      <c r="FU115" s="21"/>
      <c r="FV115" s="21"/>
      <c r="FW115" s="21"/>
      <c r="FX115" s="21"/>
      <c r="FY115" s="21"/>
      <c r="FZ115" s="21"/>
      <c r="GA115" s="21"/>
      <c r="GB115" s="21"/>
      <c r="GC115" s="21"/>
      <c r="GD115" s="21"/>
      <c r="GE115" s="21"/>
      <c r="GF115" s="21"/>
      <c r="GG115" s="21"/>
      <c r="GH115" s="21"/>
      <c r="GI115" s="21"/>
      <c r="GJ115" s="21"/>
      <c r="GK115" s="21"/>
      <c r="GL115" s="21"/>
      <c r="GM115" s="21"/>
      <c r="GN115" s="21"/>
      <c r="GO115" s="21"/>
      <c r="GP115" s="21"/>
      <c r="GQ115" s="21"/>
      <c r="GR115" s="21"/>
      <c r="GS115" s="21"/>
      <c r="GT115" s="21"/>
      <c r="GU115" s="21"/>
      <c r="GV115" s="21"/>
      <c r="GW115" s="21"/>
      <c r="GX115" s="21"/>
      <c r="GY115" s="21"/>
      <c r="GZ115" s="21"/>
      <c r="HA115" s="21"/>
      <c r="HB115" s="21"/>
      <c r="HC115" s="21"/>
      <c r="HD115" s="21"/>
      <c r="HE115" s="21"/>
      <c r="HF115" s="21"/>
      <c r="HG115" s="21"/>
      <c r="HH115" s="21"/>
      <c r="HI115" s="21"/>
      <c r="HJ115" s="21"/>
      <c r="HK115" s="21"/>
      <c r="HL115" s="21"/>
      <c r="HM115" s="21"/>
      <c r="HN115" s="21"/>
      <c r="HO115" s="21"/>
      <c r="HP115" s="21"/>
      <c r="HQ115" s="21"/>
      <c r="HR115" s="21"/>
      <c r="HS115" s="21"/>
      <c r="HT115" s="21"/>
      <c r="HU115" s="21"/>
      <c r="HV115" s="21"/>
      <c r="HW115" s="21"/>
      <c r="HX115" s="21"/>
      <c r="HY115" s="21"/>
      <c r="HZ115" s="21"/>
      <c r="IA115" s="21"/>
      <c r="IB115" s="21"/>
      <c r="IC115" s="21"/>
      <c r="ID115" s="21"/>
      <c r="IE115" s="21"/>
      <c r="IF115" s="21"/>
      <c r="IG115" s="21"/>
      <c r="IH115" s="21"/>
      <c r="II115" s="21"/>
      <c r="IJ115" s="21"/>
      <c r="IK115" s="21"/>
      <c r="IL115" s="21"/>
      <c r="IM115" s="21"/>
      <c r="IN115" s="21"/>
      <c r="IO115" s="21"/>
      <c r="IP115" s="21"/>
      <c r="IQ115" s="21"/>
      <c r="IR115" s="21"/>
      <c r="IS115" s="21"/>
      <c r="IT115" s="21"/>
      <c r="IU115" s="21"/>
      <c r="IV115" s="21"/>
      <c r="IW115" s="21"/>
      <c r="IX115" s="21"/>
      <c r="IY115" s="21"/>
      <c r="IZ115" s="21"/>
      <c r="JA115" s="21"/>
      <c r="JB115" s="21"/>
      <c r="JC115" s="21"/>
      <c r="JD115" s="21"/>
      <c r="JE115" s="21"/>
      <c r="JF115" s="21"/>
      <c r="JG115" s="21"/>
      <c r="JH115" s="21"/>
      <c r="JI115" s="21"/>
      <c r="JJ115" s="21"/>
      <c r="JK115" s="21"/>
      <c r="JL115" s="21"/>
      <c r="JM115" s="21"/>
      <c r="JN115" s="21"/>
      <c r="JO115" s="21"/>
      <c r="JP115" s="21"/>
      <c r="JQ115" s="21"/>
      <c r="JR115" s="21"/>
      <c r="JS115" s="21"/>
      <c r="JT115" s="21"/>
      <c r="JU115" s="21"/>
      <c r="JV115" s="21"/>
      <c r="JW115" s="21"/>
      <c r="JX115" s="21"/>
      <c r="JY115" s="21"/>
      <c r="JZ115" s="21"/>
      <c r="KA115" s="21"/>
      <c r="KB115" s="21"/>
      <c r="KC115" s="21"/>
      <c r="KD115" s="21"/>
      <c r="KE115" s="21"/>
      <c r="KF115" s="21"/>
      <c r="KG115" s="21"/>
      <c r="KH115" s="21"/>
      <c r="KI115" s="21"/>
      <c r="KJ115" s="21"/>
      <c r="KK115" s="21"/>
      <c r="KL115" s="21"/>
      <c r="KM115" s="21"/>
      <c r="KN115" s="21"/>
      <c r="KO115" s="21"/>
      <c r="KP115" s="21"/>
      <c r="KQ115" s="21"/>
      <c r="KR115" s="21"/>
      <c r="KS115" s="21"/>
      <c r="KT115" s="21"/>
      <c r="KU115" s="21"/>
      <c r="KV115" s="21"/>
      <c r="KW115" s="21"/>
      <c r="KX115" s="21"/>
      <c r="KY115" s="21"/>
      <c r="KZ115" s="21"/>
      <c r="LA115" s="21"/>
      <c r="LB115" s="21"/>
      <c r="LC115" s="21"/>
      <c r="LD115" s="21"/>
      <c r="LE115" s="21"/>
      <c r="LF115" s="21"/>
      <c r="LG115" s="21"/>
      <c r="LH115" s="21"/>
      <c r="LI115" s="21"/>
      <c r="LJ115" s="21"/>
      <c r="LK115" s="21"/>
      <c r="LL115" s="21"/>
      <c r="LM115" s="21"/>
      <c r="LN115" s="21"/>
      <c r="LO115" s="21"/>
      <c r="LP115" s="21"/>
      <c r="LQ115" s="21"/>
      <c r="LR115" s="21"/>
      <c r="LS115" s="21"/>
      <c r="LT115" s="21"/>
      <c r="LU115" s="21"/>
      <c r="LV115" s="21"/>
      <c r="LW115" s="21"/>
      <c r="LX115" s="21"/>
      <c r="LY115" s="21"/>
      <c r="LZ115" s="21"/>
      <c r="MA115" s="21"/>
      <c r="MB115" s="21"/>
      <c r="MC115" s="21"/>
      <c r="MD115" s="21"/>
      <c r="ME115" s="21"/>
      <c r="MF115" s="21"/>
      <c r="MG115" s="21"/>
      <c r="MH115" s="21"/>
      <c r="MI115" s="21"/>
      <c r="MJ115" s="21"/>
      <c r="MK115" s="21"/>
      <c r="ML115" s="21"/>
      <c r="MM115" s="21"/>
      <c r="MN115" s="21"/>
      <c r="MO115" s="21"/>
      <c r="MP115" s="21"/>
      <c r="MQ115" s="21"/>
      <c r="MR115" s="21"/>
      <c r="MS115" s="21"/>
      <c r="MT115" s="21"/>
      <c r="MU115" s="21"/>
      <c r="MV115" s="21"/>
      <c r="MW115" s="21"/>
      <c r="MX115" s="21"/>
      <c r="MY115" s="21"/>
      <c r="MZ115" s="21"/>
      <c r="NA115" s="21"/>
      <c r="NB115" s="21"/>
      <c r="NC115" s="21"/>
      <c r="ND115" s="21"/>
      <c r="NE115" s="21"/>
      <c r="NF115" s="21"/>
      <c r="NG115" s="21"/>
      <c r="NH115" s="21"/>
      <c r="NI115" s="21"/>
      <c r="NJ115" s="21"/>
      <c r="NK115" s="21"/>
      <c r="NL115" s="21"/>
      <c r="NM115" s="21"/>
      <c r="NN115" s="21"/>
      <c r="NO115" s="21"/>
      <c r="NP115" s="21"/>
      <c r="NQ115" s="21"/>
      <c r="NR115" s="21"/>
      <c r="NS115" s="21"/>
      <c r="NT115" s="21"/>
      <c r="NU115" s="21"/>
      <c r="NV115" s="21"/>
      <c r="NW115" s="21"/>
      <c r="NX115" s="21"/>
      <c r="NY115" s="21"/>
      <c r="NZ115" s="21"/>
      <c r="OA115" s="21"/>
      <c r="OB115" s="21"/>
      <c r="OC115" s="21"/>
      <c r="OD115" s="21"/>
      <c r="OE115" s="21"/>
      <c r="OF115" s="21"/>
      <c r="OG115" s="21"/>
      <c r="OH115" s="21"/>
      <c r="OI115" s="21"/>
      <c r="OJ115" s="21"/>
      <c r="OK115" s="21"/>
      <c r="OL115" s="21"/>
      <c r="OM115" s="21"/>
      <c r="ON115" s="21"/>
      <c r="OO115" s="21"/>
      <c r="OP115" s="21"/>
      <c r="OQ115" s="21"/>
      <c r="OR115" s="21"/>
      <c r="OS115" s="21"/>
      <c r="OT115" s="21"/>
      <c r="OU115" s="21"/>
      <c r="OV115" s="21"/>
      <c r="OW115" s="21"/>
      <c r="OX115" s="21"/>
      <c r="OY115" s="21"/>
      <c r="OZ115" s="21"/>
      <c r="PA115" s="21"/>
      <c r="PB115" s="21"/>
      <c r="PC115" s="21"/>
      <c r="PD115" s="21"/>
      <c r="PE115" s="21"/>
      <c r="PF115" s="21"/>
      <c r="PG115" s="21"/>
      <c r="PH115" s="21"/>
      <c r="PI115" s="21"/>
      <c r="PJ115" s="21"/>
      <c r="PK115" s="21"/>
      <c r="PL115" s="21"/>
      <c r="PM115" s="21"/>
      <c r="PN115" s="21"/>
      <c r="PO115" s="21"/>
      <c r="PP115" s="21"/>
      <c r="PQ115" s="21"/>
      <c r="PR115" s="21"/>
      <c r="PS115" s="21"/>
      <c r="PT115" s="21"/>
      <c r="PU115" s="21"/>
      <c r="PV115" s="21"/>
      <c r="PW115" s="21"/>
      <c r="PX115" s="21"/>
      <c r="PY115" s="21"/>
      <c r="PZ115" s="21"/>
      <c r="QA115" s="21"/>
      <c r="QB115" s="21"/>
      <c r="QC115" s="21"/>
      <c r="QD115" s="21"/>
      <c r="QE115" s="21"/>
      <c r="QF115" s="21"/>
      <c r="QG115" s="21"/>
      <c r="QH115" s="21"/>
      <c r="QI115" s="21"/>
      <c r="QJ115" s="21"/>
      <c r="QK115" s="21"/>
      <c r="QL115" s="21"/>
      <c r="QM115" s="21"/>
      <c r="QN115" s="21"/>
      <c r="QO115" s="21"/>
      <c r="QP115" s="21"/>
      <c r="QQ115" s="21"/>
      <c r="QR115" s="21"/>
      <c r="QS115" s="21"/>
      <c r="QT115" s="21"/>
      <c r="QU115" s="21"/>
      <c r="QV115" s="21"/>
      <c r="QW115" s="21"/>
      <c r="QX115" s="21"/>
      <c r="QY115" s="21"/>
      <c r="QZ115" s="21"/>
      <c r="RA115" s="21"/>
      <c r="RB115" s="21"/>
      <c r="RC115" s="21"/>
      <c r="RD115" s="21"/>
      <c r="RE115" s="21"/>
      <c r="RF115" s="21"/>
      <c r="RG115" s="21"/>
      <c r="RH115" s="21"/>
      <c r="RI115" s="21"/>
      <c r="RJ115" s="21"/>
      <c r="RK115" s="21"/>
      <c r="RL115" s="21"/>
      <c r="RM115" s="21"/>
      <c r="RN115" s="21"/>
      <c r="RO115" s="21"/>
      <c r="RP115" s="21"/>
      <c r="RQ115" s="21"/>
      <c r="RR115" s="21"/>
      <c r="RS115" s="21"/>
      <c r="RT115" s="21"/>
      <c r="RU115" s="21"/>
      <c r="RV115" s="21"/>
      <c r="RW115" s="21"/>
      <c r="RX115" s="21"/>
      <c r="RY115" s="21"/>
      <c r="RZ115" s="21"/>
      <c r="SA115" s="21"/>
      <c r="SB115" s="21"/>
      <c r="SC115" s="21"/>
      <c r="SD115" s="21"/>
      <c r="SE115" s="21"/>
      <c r="SF115" s="21"/>
      <c r="SG115" s="21"/>
      <c r="SH115" s="21"/>
      <c r="SI115" s="21"/>
      <c r="SJ115" s="21"/>
      <c r="SK115" s="21"/>
      <c r="SL115" s="21"/>
      <c r="SM115" s="21"/>
      <c r="SN115" s="21"/>
      <c r="SO115" s="21"/>
      <c r="SP115" s="21"/>
      <c r="SQ115" s="21"/>
      <c r="SR115" s="21"/>
      <c r="SS115" s="21"/>
      <c r="ST115" s="21"/>
      <c r="SU115" s="21"/>
      <c r="SV115" s="21"/>
      <c r="SW115" s="21"/>
      <c r="SX115" s="21"/>
      <c r="SY115" s="21"/>
      <c r="SZ115" s="21"/>
      <c r="TA115" s="21"/>
      <c r="TB115" s="21"/>
      <c r="TC115" s="21"/>
      <c r="TD115" s="21"/>
      <c r="TE115" s="21"/>
      <c r="TF115" s="21"/>
      <c r="TG115" s="21"/>
      <c r="TH115" s="21"/>
      <c r="TI115" s="21"/>
      <c r="TJ115" s="21"/>
      <c r="TK115" s="21"/>
      <c r="TL115" s="21"/>
      <c r="TM115" s="21"/>
      <c r="TN115" s="21"/>
      <c r="TO115" s="21"/>
      <c r="TP115" s="21"/>
      <c r="TQ115" s="21"/>
      <c r="TR115" s="21"/>
      <c r="TS115" s="21"/>
      <c r="TT115" s="21"/>
      <c r="TU115" s="21"/>
      <c r="TV115" s="21"/>
      <c r="TW115" s="21"/>
      <c r="TX115" s="21"/>
      <c r="TY115" s="21"/>
      <c r="TZ115" s="21"/>
      <c r="UA115" s="21"/>
      <c r="UB115" s="21"/>
      <c r="UC115" s="21"/>
      <c r="UD115" s="21"/>
      <c r="UE115" s="21"/>
      <c r="UF115" s="21"/>
      <c r="UG115" s="21"/>
      <c r="UH115" s="21"/>
      <c r="UI115" s="21"/>
      <c r="UJ115" s="21"/>
      <c r="UK115" s="21"/>
      <c r="UL115" s="21"/>
      <c r="UM115" s="21"/>
      <c r="UN115" s="21"/>
      <c r="UO115" s="21"/>
      <c r="UP115" s="21"/>
      <c r="UQ115" s="21"/>
      <c r="UR115" s="21"/>
      <c r="US115" s="21"/>
      <c r="UT115" s="21"/>
      <c r="UU115" s="21"/>
      <c r="UV115" s="21"/>
      <c r="UW115" s="21"/>
      <c r="UX115" s="21"/>
      <c r="UY115" s="21"/>
      <c r="UZ115" s="21"/>
      <c r="VA115" s="21"/>
      <c r="VB115" s="21"/>
      <c r="VC115" s="21"/>
      <c r="VD115" s="21"/>
      <c r="VE115" s="21"/>
      <c r="VF115" s="21"/>
      <c r="VG115" s="21"/>
      <c r="VH115" s="21"/>
      <c r="VI115" s="21"/>
      <c r="VJ115" s="21"/>
      <c r="VK115" s="21"/>
      <c r="VL115" s="21"/>
      <c r="VM115" s="21"/>
      <c r="VN115" s="21"/>
      <c r="VO115" s="21"/>
      <c r="VP115" s="21"/>
      <c r="VQ115" s="21"/>
      <c r="VR115" s="21"/>
      <c r="VS115" s="21"/>
      <c r="VT115" s="21"/>
      <c r="VU115" s="21"/>
      <c r="VV115" s="21"/>
      <c r="VW115" s="21"/>
      <c r="VX115" s="21"/>
      <c r="VY115" s="21"/>
      <c r="VZ115" s="21"/>
      <c r="WA115" s="21"/>
      <c r="WB115" s="21"/>
      <c r="WC115" s="21"/>
      <c r="WD115" s="21"/>
      <c r="WE115" s="21"/>
      <c r="WF115" s="21"/>
      <c r="WG115" s="21"/>
      <c r="WH115" s="21"/>
      <c r="WI115" s="21"/>
      <c r="WJ115" s="21"/>
      <c r="WK115" s="21"/>
      <c r="WL115" s="21"/>
      <c r="WM115" s="21"/>
      <c r="WN115" s="21"/>
      <c r="WO115" s="21"/>
      <c r="WP115" s="21"/>
      <c r="WQ115" s="21"/>
      <c r="WR115" s="21"/>
      <c r="WS115" s="21"/>
      <c r="WT115" s="21"/>
      <c r="WU115" s="21"/>
      <c r="WV115" s="21"/>
      <c r="WW115" s="21"/>
      <c r="WX115" s="21"/>
      <c r="WY115" s="21"/>
      <c r="WZ115" s="21"/>
      <c r="XA115" s="21"/>
      <c r="XB115" s="21"/>
      <c r="XC115" s="21"/>
      <c r="XD115" s="21"/>
      <c r="XE115" s="21"/>
      <c r="XF115" s="21"/>
      <c r="XG115" s="21"/>
      <c r="XH115" s="21"/>
      <c r="XI115" s="21"/>
      <c r="XJ115" s="21"/>
      <c r="XK115" s="21"/>
      <c r="XL115" s="21"/>
      <c r="XM115" s="21"/>
      <c r="XN115" s="21"/>
      <c r="XO115" s="21"/>
      <c r="XP115" s="21"/>
      <c r="XQ115" s="21"/>
      <c r="XR115" s="21"/>
      <c r="XS115" s="21"/>
      <c r="XT115" s="21"/>
      <c r="XU115" s="21"/>
      <c r="XV115" s="21"/>
      <c r="XW115" s="21"/>
      <c r="XX115" s="21"/>
      <c r="XY115" s="21"/>
      <c r="XZ115" s="21"/>
      <c r="YA115" s="21"/>
      <c r="YB115" s="21"/>
      <c r="YC115" s="21"/>
      <c r="YD115" s="21"/>
      <c r="YE115" s="21"/>
      <c r="YF115" s="21"/>
      <c r="YG115" s="21"/>
      <c r="YH115" s="21"/>
      <c r="YI115" s="21"/>
      <c r="YJ115" s="21"/>
      <c r="YK115" s="21"/>
      <c r="YL115" s="21"/>
      <c r="YM115" s="21"/>
      <c r="YN115" s="21"/>
      <c r="YO115" s="21"/>
      <c r="YP115" s="21"/>
      <c r="YQ115" s="21"/>
      <c r="YR115" s="21"/>
      <c r="YS115" s="21"/>
      <c r="YT115" s="21"/>
      <c r="YU115" s="21"/>
      <c r="YV115" s="21"/>
      <c r="YW115" s="21"/>
      <c r="YX115" s="21"/>
      <c r="YY115" s="21"/>
      <c r="YZ115" s="21"/>
      <c r="ZA115" s="21"/>
      <c r="ZB115" s="21"/>
      <c r="ZC115" s="21"/>
      <c r="ZD115" s="21"/>
      <c r="ZE115" s="21"/>
      <c r="ZF115" s="21"/>
      <c r="ZG115" s="21"/>
      <c r="ZH115" s="21"/>
      <c r="ZI115" s="21"/>
      <c r="ZJ115" s="21"/>
      <c r="ZK115" s="21"/>
      <c r="ZL115" s="21"/>
      <c r="ZM115" s="21"/>
      <c r="ZN115" s="21"/>
      <c r="ZO115" s="21"/>
      <c r="ZP115" s="21"/>
      <c r="ZQ115" s="21"/>
      <c r="ZR115" s="21"/>
      <c r="ZS115" s="21"/>
      <c r="ZT115" s="21"/>
      <c r="ZU115" s="21"/>
      <c r="ZV115" s="21"/>
      <c r="ZW115" s="21"/>
      <c r="ZX115" s="21"/>
      <c r="ZY115" s="21"/>
      <c r="ZZ115" s="21"/>
      <c r="AAA115" s="21"/>
      <c r="AAB115" s="21"/>
      <c r="AAC115" s="21"/>
      <c r="AAD115" s="21"/>
      <c r="AAE115" s="21"/>
      <c r="AAF115" s="21"/>
      <c r="AAG115" s="21"/>
      <c r="AAH115" s="21"/>
      <c r="AAI115" s="21"/>
      <c r="AAJ115" s="21"/>
      <c r="AAK115" s="21"/>
      <c r="AAL115" s="21"/>
      <c r="AAM115" s="21"/>
      <c r="AAN115" s="21"/>
      <c r="AAO115" s="21"/>
      <c r="AAP115" s="21"/>
      <c r="AAQ115" s="21"/>
      <c r="AAR115" s="21"/>
      <c r="AAS115" s="21"/>
      <c r="AAT115" s="21"/>
      <c r="AAU115" s="21"/>
      <c r="AAV115" s="21"/>
      <c r="AAW115" s="21"/>
      <c r="AAX115" s="21"/>
      <c r="AAY115" s="21"/>
      <c r="AAZ115" s="21"/>
      <c r="ABA115" s="21"/>
      <c r="ABB115" s="21"/>
      <c r="ABC115" s="21"/>
      <c r="ABD115" s="21"/>
      <c r="ABE115" s="21"/>
      <c r="ABF115" s="21"/>
      <c r="ABG115" s="21"/>
      <c r="ABH115" s="21"/>
      <c r="ABI115" s="21"/>
      <c r="ABJ115" s="21"/>
      <c r="ABK115" s="21"/>
      <c r="ABL115" s="21"/>
      <c r="ABM115" s="21"/>
      <c r="ABN115" s="21"/>
      <c r="ABO115" s="21"/>
      <c r="ABP115" s="21"/>
      <c r="ABQ115" s="21"/>
      <c r="ABR115" s="21"/>
      <c r="ABS115" s="21"/>
      <c r="ABT115" s="21"/>
      <c r="ABU115" s="21"/>
      <c r="ABV115" s="21"/>
      <c r="ABW115" s="21"/>
      <c r="ABX115" s="21"/>
      <c r="ABY115" s="21"/>
      <c r="ABZ115" s="21"/>
      <c r="ACA115" s="21"/>
      <c r="ACB115" s="21"/>
      <c r="ACC115" s="21"/>
      <c r="ACD115" s="21"/>
      <c r="ACE115" s="21"/>
      <c r="ACF115" s="21"/>
      <c r="ACG115" s="21"/>
      <c r="ACH115" s="21"/>
      <c r="ACI115" s="21"/>
      <c r="ACJ115" s="21"/>
      <c r="ACK115" s="21"/>
      <c r="ACL115" s="21"/>
      <c r="ACM115" s="21"/>
      <c r="ACN115" s="21"/>
      <c r="ACO115" s="21"/>
      <c r="ACP115" s="21"/>
      <c r="ACQ115" s="21"/>
      <c r="ACR115" s="21"/>
      <c r="ACS115" s="21"/>
      <c r="ACT115" s="21"/>
      <c r="ACU115" s="21"/>
      <c r="ACV115" s="21"/>
      <c r="ACW115" s="21"/>
      <c r="ACX115" s="21"/>
      <c r="ACY115" s="21"/>
      <c r="ACZ115" s="21"/>
      <c r="ADA115" s="21"/>
      <c r="ADB115" s="21"/>
      <c r="ADC115" s="21"/>
      <c r="ADD115" s="21"/>
      <c r="ADE115" s="21"/>
      <c r="ADF115" s="21"/>
      <c r="ADG115" s="21"/>
      <c r="ADH115" s="21"/>
      <c r="ADI115" s="21"/>
      <c r="ADJ115" s="21"/>
      <c r="ADK115" s="21"/>
      <c r="ADL115" s="21"/>
      <c r="ADM115" s="21"/>
      <c r="ADN115" s="21"/>
      <c r="ADO115" s="21"/>
      <c r="ADP115" s="21"/>
      <c r="ADQ115" s="21"/>
      <c r="ADR115" s="21"/>
      <c r="ADS115" s="21"/>
      <c r="ADT115" s="21"/>
      <c r="ADU115" s="21"/>
      <c r="ADV115" s="21"/>
      <c r="ADW115" s="21"/>
      <c r="ADX115" s="21"/>
      <c r="ADY115" s="21"/>
      <c r="ADZ115" s="21"/>
      <c r="AEA115" s="21"/>
      <c r="AEB115" s="21"/>
      <c r="AEC115" s="21"/>
      <c r="AED115" s="21"/>
      <c r="AEE115" s="21"/>
      <c r="AEF115" s="21"/>
      <c r="AEG115" s="21"/>
    </row>
    <row r="116" spans="1:813" s="65" customFormat="1" ht="50.25" customHeight="1" thickBot="1" x14ac:dyDescent="0.3">
      <c r="A116" s="209" t="s">
        <v>215</v>
      </c>
      <c r="B116" s="235"/>
      <c r="C116" s="235"/>
      <c r="D116" s="235"/>
      <c r="E116" s="109"/>
      <c r="F116" s="108"/>
      <c r="G116" s="107"/>
      <c r="H116" s="107">
        <f>SUM(H117:H129)</f>
        <v>1460</v>
      </c>
      <c r="I116" s="107"/>
      <c r="J116" s="107">
        <f>SUM(J117:J129)</f>
        <v>3170</v>
      </c>
      <c r="K116" s="107"/>
      <c r="L116" s="107">
        <f>SUM(L117:L129)</f>
        <v>5450</v>
      </c>
      <c r="M116" s="107"/>
      <c r="N116" s="107">
        <f>SUM(N117:N129)</f>
        <v>8160</v>
      </c>
      <c r="O116" s="107"/>
      <c r="P116" s="107">
        <f>SUM(P117:P129)</f>
        <v>4710</v>
      </c>
      <c r="Q116" s="107"/>
      <c r="R116" s="107">
        <f>SUM(R117:R129)</f>
        <v>5735</v>
      </c>
      <c r="S116" s="107"/>
      <c r="T116" s="107">
        <f>SUM(T117:T129)</f>
        <v>13755</v>
      </c>
      <c r="U116" s="107"/>
      <c r="V116" s="107">
        <f>SUM(V117:V129)</f>
        <v>4930</v>
      </c>
      <c r="W116" s="107"/>
      <c r="X116" s="107">
        <f>SUM(X117:X129)</f>
        <v>2080</v>
      </c>
      <c r="Y116" s="107"/>
      <c r="Z116" s="107">
        <f>SUM(Z117:Z129)</f>
        <v>3710</v>
      </c>
      <c r="AA116" s="107"/>
      <c r="AB116" s="107">
        <f>SUM(AB117:AB129)</f>
        <v>5370</v>
      </c>
      <c r="AC116" s="107"/>
      <c r="AD116" s="107">
        <f>SUM(AD117:AD129)</f>
        <v>4520</v>
      </c>
      <c r="AE116" s="107"/>
      <c r="AF116" s="106">
        <f>SUM(AF117:AF129)</f>
        <v>63050</v>
      </c>
      <c r="AG116" s="106"/>
      <c r="AH116" s="106"/>
      <c r="AI116" s="106">
        <f>SUM(AI117:AI129)</f>
        <v>7790</v>
      </c>
      <c r="AJ116" s="106">
        <f>SUM(AJ117:AJ129)</f>
        <v>4198853.9536210969</v>
      </c>
      <c r="AK116" s="106">
        <f>SUM(AK117:AK129)</f>
        <v>342025.05970364675</v>
      </c>
      <c r="AL116" s="106">
        <f>SUM(AL117:AL129)</f>
        <v>4540879.013324745</v>
      </c>
      <c r="AM116" s="105"/>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row>
    <row r="117" spans="1:813" s="93" customFormat="1" ht="45" x14ac:dyDescent="0.25">
      <c r="A117" s="95">
        <v>45</v>
      </c>
      <c r="B117" s="104" t="s">
        <v>214</v>
      </c>
      <c r="C117" s="103" t="s">
        <v>213</v>
      </c>
      <c r="D117" s="82" t="s">
        <v>212</v>
      </c>
      <c r="E117" s="83" t="s">
        <v>211</v>
      </c>
      <c r="F117" s="82"/>
      <c r="G117" s="33"/>
      <c r="H117" s="33">
        <v>25</v>
      </c>
      <c r="I117" s="33"/>
      <c r="J117" s="33">
        <v>140</v>
      </c>
      <c r="K117" s="33"/>
      <c r="L117" s="33">
        <v>290</v>
      </c>
      <c r="M117" s="33"/>
      <c r="N117" s="33">
        <v>1030</v>
      </c>
      <c r="O117" s="33"/>
      <c r="P117" s="33">
        <v>80</v>
      </c>
      <c r="Q117" s="33"/>
      <c r="R117" s="33">
        <v>190</v>
      </c>
      <c r="S117" s="33"/>
      <c r="T117" s="33">
        <v>1160</v>
      </c>
      <c r="U117" s="33"/>
      <c r="V117" s="33">
        <v>275</v>
      </c>
      <c r="W117" s="33"/>
      <c r="X117" s="33">
        <v>120</v>
      </c>
      <c r="Y117" s="33"/>
      <c r="Z117" s="33">
        <v>210</v>
      </c>
      <c r="AA117" s="33"/>
      <c r="AB117" s="33">
        <v>210</v>
      </c>
      <c r="AC117" s="33"/>
      <c r="AD117" s="33">
        <v>835</v>
      </c>
      <c r="AE117" s="33"/>
      <c r="AF117" s="33">
        <f t="shared" ref="AF117:AF129" si="37">SUM(G117:AE117)</f>
        <v>4565</v>
      </c>
      <c r="AG117" s="33"/>
      <c r="AH117" s="33"/>
      <c r="AI117" s="33">
        <v>25</v>
      </c>
      <c r="AJ117" s="46">
        <v>260296.10870073942</v>
      </c>
      <c r="AK117" s="46">
        <v>21202.878952772255</v>
      </c>
      <c r="AL117" s="46">
        <v>281498.98765351169</v>
      </c>
      <c r="AM117" s="45" t="s">
        <v>18</v>
      </c>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c r="EF117" s="21"/>
      <c r="EG117" s="21"/>
      <c r="EH117" s="21"/>
      <c r="EI117" s="21"/>
      <c r="EJ117" s="21"/>
      <c r="EK117" s="21"/>
      <c r="EL117" s="21"/>
      <c r="EM117" s="21"/>
      <c r="EN117" s="21"/>
      <c r="EO117" s="21"/>
      <c r="EP117" s="21"/>
      <c r="EQ117" s="21"/>
      <c r="ER117" s="21"/>
      <c r="ES117" s="21"/>
      <c r="ET117" s="21"/>
      <c r="EU117" s="21"/>
      <c r="EV117" s="21"/>
      <c r="EW117" s="21"/>
      <c r="EX117" s="21"/>
      <c r="EY117" s="21"/>
      <c r="EZ117" s="21"/>
      <c r="FA117" s="21"/>
      <c r="FB117" s="21"/>
      <c r="FC117" s="21"/>
      <c r="FD117" s="21"/>
      <c r="FE117" s="21"/>
      <c r="FF117" s="21"/>
      <c r="FG117" s="21"/>
      <c r="FH117" s="21"/>
      <c r="FI117" s="21"/>
      <c r="FJ117" s="21"/>
      <c r="FK117" s="21"/>
      <c r="FL117" s="21"/>
      <c r="FM117" s="21"/>
      <c r="FN117" s="21"/>
      <c r="FO117" s="21"/>
      <c r="FP117" s="21"/>
      <c r="FQ117" s="21"/>
      <c r="FR117" s="21"/>
      <c r="FS117" s="21"/>
      <c r="FT117" s="21"/>
      <c r="FU117" s="21"/>
      <c r="FV117" s="21"/>
      <c r="FW117" s="21"/>
      <c r="FX117" s="21"/>
      <c r="FY117" s="21"/>
      <c r="FZ117" s="21"/>
      <c r="GA117" s="21"/>
      <c r="GB117" s="21"/>
      <c r="GC117" s="21"/>
      <c r="GD117" s="21"/>
      <c r="GE117" s="21"/>
      <c r="GF117" s="21"/>
      <c r="GG117" s="21"/>
      <c r="GH117" s="21"/>
      <c r="GI117" s="21"/>
      <c r="GJ117" s="21"/>
      <c r="GK117" s="21"/>
      <c r="GL117" s="21"/>
      <c r="GM117" s="21"/>
      <c r="GN117" s="21"/>
      <c r="GO117" s="21"/>
      <c r="GP117" s="21"/>
      <c r="GQ117" s="21"/>
      <c r="GR117" s="21"/>
      <c r="GS117" s="21"/>
      <c r="GT117" s="21"/>
      <c r="GU117" s="21"/>
      <c r="GV117" s="21"/>
      <c r="GW117" s="21"/>
      <c r="GX117" s="21"/>
      <c r="GY117" s="21"/>
      <c r="GZ117" s="21"/>
      <c r="HA117" s="21"/>
      <c r="HB117" s="21"/>
      <c r="HC117" s="21"/>
      <c r="HD117" s="21"/>
      <c r="HE117" s="21"/>
      <c r="HF117" s="21"/>
      <c r="HG117" s="21"/>
      <c r="HH117" s="21"/>
      <c r="HI117" s="21"/>
      <c r="HJ117" s="21"/>
      <c r="HK117" s="21"/>
      <c r="HL117" s="21"/>
      <c r="HM117" s="21"/>
      <c r="HN117" s="21"/>
      <c r="HO117" s="21"/>
      <c r="HP117" s="21"/>
      <c r="HQ117" s="21"/>
      <c r="HR117" s="21"/>
      <c r="HS117" s="21"/>
      <c r="HT117" s="21"/>
      <c r="HU117" s="21"/>
      <c r="HV117" s="21"/>
      <c r="HW117" s="21"/>
      <c r="HX117" s="21"/>
      <c r="HY117" s="21"/>
      <c r="HZ117" s="21"/>
      <c r="IA117" s="21"/>
      <c r="IB117" s="21"/>
      <c r="IC117" s="21"/>
      <c r="ID117" s="21"/>
      <c r="IE117" s="21"/>
      <c r="IF117" s="21"/>
      <c r="IG117" s="21"/>
      <c r="IH117" s="21"/>
      <c r="II117" s="21"/>
      <c r="IJ117" s="21"/>
      <c r="IK117" s="21"/>
      <c r="IL117" s="21"/>
      <c r="IM117" s="21"/>
      <c r="IN117" s="21"/>
      <c r="IO117" s="21"/>
      <c r="IP117" s="21"/>
      <c r="IQ117" s="21"/>
      <c r="IR117" s="21"/>
      <c r="IS117" s="21"/>
      <c r="IT117" s="21"/>
      <c r="IU117" s="21"/>
      <c r="IV117" s="21"/>
      <c r="IW117" s="21"/>
      <c r="IX117" s="21"/>
      <c r="IY117" s="21"/>
      <c r="IZ117" s="21"/>
      <c r="JA117" s="21"/>
      <c r="JB117" s="21"/>
      <c r="JC117" s="21"/>
      <c r="JD117" s="21"/>
      <c r="JE117" s="21"/>
      <c r="JF117" s="21"/>
      <c r="JG117" s="21"/>
      <c r="JH117" s="21"/>
      <c r="JI117" s="21"/>
      <c r="JJ117" s="21"/>
      <c r="JK117" s="21"/>
      <c r="JL117" s="21"/>
      <c r="JM117" s="21"/>
      <c r="JN117" s="21"/>
      <c r="JO117" s="21"/>
      <c r="JP117" s="21"/>
      <c r="JQ117" s="21"/>
      <c r="JR117" s="21"/>
      <c r="JS117" s="21"/>
      <c r="JT117" s="21"/>
      <c r="JU117" s="21"/>
      <c r="JV117" s="21"/>
      <c r="JW117" s="21"/>
      <c r="JX117" s="21"/>
      <c r="JY117" s="21"/>
      <c r="JZ117" s="21"/>
      <c r="KA117" s="21"/>
      <c r="KB117" s="21"/>
      <c r="KC117" s="21"/>
      <c r="KD117" s="21"/>
      <c r="KE117" s="21"/>
      <c r="KF117" s="21"/>
      <c r="KG117" s="21"/>
      <c r="KH117" s="21"/>
      <c r="KI117" s="21"/>
      <c r="KJ117" s="21"/>
      <c r="KK117" s="21"/>
      <c r="KL117" s="21"/>
      <c r="KM117" s="21"/>
      <c r="KN117" s="21"/>
      <c r="KO117" s="21"/>
      <c r="KP117" s="21"/>
      <c r="KQ117" s="21"/>
      <c r="KR117" s="21"/>
      <c r="KS117" s="21"/>
      <c r="KT117" s="21"/>
      <c r="KU117" s="21"/>
      <c r="KV117" s="21"/>
      <c r="KW117" s="21"/>
      <c r="KX117" s="21"/>
      <c r="KY117" s="21"/>
      <c r="KZ117" s="21"/>
      <c r="LA117" s="21"/>
      <c r="LB117" s="21"/>
      <c r="LC117" s="21"/>
      <c r="LD117" s="21"/>
      <c r="LE117" s="21"/>
      <c r="LF117" s="21"/>
      <c r="LG117" s="21"/>
      <c r="LH117" s="21"/>
      <c r="LI117" s="21"/>
      <c r="LJ117" s="21"/>
      <c r="LK117" s="21"/>
      <c r="LL117" s="21"/>
      <c r="LM117" s="21"/>
      <c r="LN117" s="21"/>
      <c r="LO117" s="21"/>
      <c r="LP117" s="21"/>
      <c r="LQ117" s="21"/>
      <c r="LR117" s="21"/>
      <c r="LS117" s="21"/>
      <c r="LT117" s="21"/>
      <c r="LU117" s="21"/>
      <c r="LV117" s="21"/>
      <c r="LW117" s="21"/>
      <c r="LX117" s="21"/>
      <c r="LY117" s="21"/>
      <c r="LZ117" s="21"/>
      <c r="MA117" s="21"/>
      <c r="MB117" s="21"/>
      <c r="MC117" s="21"/>
      <c r="MD117" s="21"/>
      <c r="ME117" s="21"/>
      <c r="MF117" s="21"/>
      <c r="MG117" s="21"/>
      <c r="MH117" s="21"/>
      <c r="MI117" s="21"/>
      <c r="MJ117" s="21"/>
      <c r="MK117" s="21"/>
      <c r="ML117" s="21"/>
      <c r="MM117" s="21"/>
      <c r="MN117" s="21"/>
      <c r="MO117" s="21"/>
      <c r="MP117" s="21"/>
      <c r="MQ117" s="21"/>
      <c r="MR117" s="21"/>
      <c r="MS117" s="21"/>
      <c r="MT117" s="21"/>
      <c r="MU117" s="21"/>
      <c r="MV117" s="21"/>
      <c r="MW117" s="21"/>
      <c r="MX117" s="21"/>
      <c r="MY117" s="21"/>
      <c r="MZ117" s="21"/>
      <c r="NA117" s="21"/>
      <c r="NB117" s="21"/>
      <c r="NC117" s="21"/>
      <c r="ND117" s="21"/>
      <c r="NE117" s="21"/>
      <c r="NF117" s="21"/>
      <c r="NG117" s="21"/>
      <c r="NH117" s="21"/>
      <c r="NI117" s="21"/>
      <c r="NJ117" s="21"/>
      <c r="NK117" s="21"/>
      <c r="NL117" s="21"/>
      <c r="NM117" s="21"/>
      <c r="NN117" s="21"/>
      <c r="NO117" s="21"/>
      <c r="NP117" s="21"/>
      <c r="NQ117" s="21"/>
      <c r="NR117" s="21"/>
      <c r="NS117" s="21"/>
      <c r="NT117" s="21"/>
      <c r="NU117" s="21"/>
      <c r="NV117" s="21"/>
      <c r="NW117" s="21"/>
      <c r="NX117" s="21"/>
      <c r="NY117" s="21"/>
      <c r="NZ117" s="21"/>
      <c r="OA117" s="21"/>
      <c r="OB117" s="21"/>
      <c r="OC117" s="21"/>
      <c r="OD117" s="21"/>
      <c r="OE117" s="21"/>
      <c r="OF117" s="21"/>
      <c r="OG117" s="21"/>
      <c r="OH117" s="21"/>
      <c r="OI117" s="21"/>
      <c r="OJ117" s="21"/>
      <c r="OK117" s="21"/>
      <c r="OL117" s="21"/>
      <c r="OM117" s="21"/>
      <c r="ON117" s="21"/>
      <c r="OO117" s="21"/>
      <c r="OP117" s="21"/>
      <c r="OQ117" s="21"/>
      <c r="OR117" s="21"/>
      <c r="OS117" s="21"/>
      <c r="OT117" s="21"/>
      <c r="OU117" s="21"/>
      <c r="OV117" s="21"/>
      <c r="OW117" s="21"/>
      <c r="OX117" s="21"/>
      <c r="OY117" s="21"/>
      <c r="OZ117" s="21"/>
      <c r="PA117" s="21"/>
      <c r="PB117" s="21"/>
      <c r="PC117" s="21"/>
      <c r="PD117" s="21"/>
      <c r="PE117" s="21"/>
      <c r="PF117" s="21"/>
      <c r="PG117" s="21"/>
      <c r="PH117" s="21"/>
      <c r="PI117" s="21"/>
      <c r="PJ117" s="21"/>
      <c r="PK117" s="21"/>
      <c r="PL117" s="21"/>
      <c r="PM117" s="21"/>
      <c r="PN117" s="21"/>
      <c r="PO117" s="21"/>
      <c r="PP117" s="21"/>
      <c r="PQ117" s="21"/>
      <c r="PR117" s="21"/>
      <c r="PS117" s="21"/>
      <c r="PT117" s="21"/>
      <c r="PU117" s="21"/>
      <c r="PV117" s="21"/>
      <c r="PW117" s="21"/>
      <c r="PX117" s="21"/>
      <c r="PY117" s="21"/>
      <c r="PZ117" s="21"/>
      <c r="QA117" s="21"/>
      <c r="QB117" s="21"/>
      <c r="QC117" s="21"/>
      <c r="QD117" s="21"/>
      <c r="QE117" s="21"/>
      <c r="QF117" s="21"/>
      <c r="QG117" s="21"/>
      <c r="QH117" s="21"/>
      <c r="QI117" s="21"/>
      <c r="QJ117" s="21"/>
      <c r="QK117" s="21"/>
      <c r="QL117" s="21"/>
      <c r="QM117" s="21"/>
      <c r="QN117" s="21"/>
      <c r="QO117" s="21"/>
      <c r="QP117" s="21"/>
      <c r="QQ117" s="21"/>
      <c r="QR117" s="21"/>
      <c r="QS117" s="21"/>
      <c r="QT117" s="21"/>
      <c r="QU117" s="21"/>
      <c r="QV117" s="21"/>
      <c r="QW117" s="21"/>
      <c r="QX117" s="21"/>
      <c r="QY117" s="21"/>
      <c r="QZ117" s="21"/>
      <c r="RA117" s="21"/>
      <c r="RB117" s="21"/>
      <c r="RC117" s="21"/>
      <c r="RD117" s="21"/>
      <c r="RE117" s="21"/>
      <c r="RF117" s="21"/>
      <c r="RG117" s="21"/>
      <c r="RH117" s="21"/>
      <c r="RI117" s="21"/>
      <c r="RJ117" s="21"/>
      <c r="RK117" s="21"/>
      <c r="RL117" s="21"/>
      <c r="RM117" s="21"/>
      <c r="RN117" s="21"/>
      <c r="RO117" s="21"/>
      <c r="RP117" s="21"/>
      <c r="RQ117" s="21"/>
      <c r="RR117" s="21"/>
      <c r="RS117" s="21"/>
      <c r="RT117" s="21"/>
      <c r="RU117" s="21"/>
      <c r="RV117" s="21"/>
      <c r="RW117" s="21"/>
      <c r="RX117" s="21"/>
      <c r="RY117" s="21"/>
      <c r="RZ117" s="21"/>
      <c r="SA117" s="21"/>
      <c r="SB117" s="21"/>
      <c r="SC117" s="21"/>
      <c r="SD117" s="21"/>
      <c r="SE117" s="21"/>
      <c r="SF117" s="21"/>
      <c r="SG117" s="21"/>
      <c r="SH117" s="21"/>
      <c r="SI117" s="21"/>
      <c r="SJ117" s="21"/>
      <c r="SK117" s="21"/>
      <c r="SL117" s="21"/>
      <c r="SM117" s="21"/>
      <c r="SN117" s="21"/>
      <c r="SO117" s="21"/>
      <c r="SP117" s="21"/>
      <c r="SQ117" s="21"/>
      <c r="SR117" s="21"/>
      <c r="SS117" s="21"/>
      <c r="ST117" s="21"/>
      <c r="SU117" s="21"/>
      <c r="SV117" s="21"/>
      <c r="SW117" s="21"/>
      <c r="SX117" s="21"/>
      <c r="SY117" s="21"/>
      <c r="SZ117" s="21"/>
      <c r="TA117" s="21"/>
      <c r="TB117" s="21"/>
      <c r="TC117" s="21"/>
      <c r="TD117" s="21"/>
      <c r="TE117" s="21"/>
      <c r="TF117" s="21"/>
      <c r="TG117" s="21"/>
      <c r="TH117" s="21"/>
      <c r="TI117" s="21"/>
      <c r="TJ117" s="21"/>
      <c r="TK117" s="21"/>
      <c r="TL117" s="21"/>
      <c r="TM117" s="21"/>
      <c r="TN117" s="21"/>
      <c r="TO117" s="21"/>
      <c r="TP117" s="21"/>
      <c r="TQ117" s="21"/>
      <c r="TR117" s="21"/>
      <c r="TS117" s="21"/>
      <c r="TT117" s="21"/>
      <c r="TU117" s="21"/>
      <c r="TV117" s="21"/>
      <c r="TW117" s="21"/>
      <c r="TX117" s="21"/>
      <c r="TY117" s="21"/>
      <c r="TZ117" s="21"/>
      <c r="UA117" s="21"/>
      <c r="UB117" s="21"/>
      <c r="UC117" s="21"/>
      <c r="UD117" s="21"/>
      <c r="UE117" s="21"/>
      <c r="UF117" s="21"/>
      <c r="UG117" s="21"/>
      <c r="UH117" s="21"/>
      <c r="UI117" s="21"/>
      <c r="UJ117" s="21"/>
      <c r="UK117" s="21"/>
      <c r="UL117" s="21"/>
      <c r="UM117" s="21"/>
      <c r="UN117" s="21"/>
      <c r="UO117" s="21"/>
      <c r="UP117" s="21"/>
      <c r="UQ117" s="21"/>
      <c r="UR117" s="21"/>
      <c r="US117" s="21"/>
      <c r="UT117" s="21"/>
      <c r="UU117" s="21"/>
      <c r="UV117" s="21"/>
      <c r="UW117" s="21"/>
      <c r="UX117" s="21"/>
      <c r="UY117" s="21"/>
      <c r="UZ117" s="21"/>
      <c r="VA117" s="21"/>
      <c r="VB117" s="21"/>
      <c r="VC117" s="21"/>
      <c r="VD117" s="21"/>
      <c r="VE117" s="21"/>
      <c r="VF117" s="21"/>
      <c r="VG117" s="21"/>
      <c r="VH117" s="21"/>
      <c r="VI117" s="21"/>
      <c r="VJ117" s="21"/>
      <c r="VK117" s="21"/>
      <c r="VL117" s="21"/>
      <c r="VM117" s="21"/>
      <c r="VN117" s="21"/>
      <c r="VO117" s="21"/>
      <c r="VP117" s="21"/>
      <c r="VQ117" s="21"/>
      <c r="VR117" s="21"/>
      <c r="VS117" s="21"/>
      <c r="VT117" s="21"/>
      <c r="VU117" s="21"/>
      <c r="VV117" s="21"/>
      <c r="VW117" s="21"/>
      <c r="VX117" s="21"/>
      <c r="VY117" s="21"/>
      <c r="VZ117" s="21"/>
      <c r="WA117" s="21"/>
      <c r="WB117" s="21"/>
      <c r="WC117" s="21"/>
      <c r="WD117" s="21"/>
      <c r="WE117" s="21"/>
      <c r="WF117" s="21"/>
      <c r="WG117" s="21"/>
      <c r="WH117" s="21"/>
      <c r="WI117" s="21"/>
      <c r="WJ117" s="21"/>
      <c r="WK117" s="21"/>
      <c r="WL117" s="21"/>
      <c r="WM117" s="21"/>
      <c r="WN117" s="21"/>
      <c r="WO117" s="21"/>
      <c r="WP117" s="21"/>
      <c r="WQ117" s="21"/>
      <c r="WR117" s="21"/>
      <c r="WS117" s="21"/>
      <c r="WT117" s="21"/>
      <c r="WU117" s="21"/>
      <c r="WV117" s="21"/>
      <c r="WW117" s="21"/>
      <c r="WX117" s="21"/>
      <c r="WY117" s="21"/>
      <c r="WZ117" s="21"/>
      <c r="XA117" s="21"/>
      <c r="XB117" s="21"/>
      <c r="XC117" s="21"/>
      <c r="XD117" s="21"/>
      <c r="XE117" s="21"/>
      <c r="XF117" s="21"/>
      <c r="XG117" s="21"/>
      <c r="XH117" s="21"/>
      <c r="XI117" s="21"/>
      <c r="XJ117" s="21"/>
      <c r="XK117" s="21"/>
      <c r="XL117" s="21"/>
      <c r="XM117" s="21"/>
      <c r="XN117" s="21"/>
      <c r="XO117" s="21"/>
      <c r="XP117" s="21"/>
      <c r="XQ117" s="21"/>
      <c r="XR117" s="21"/>
      <c r="XS117" s="21"/>
      <c r="XT117" s="21"/>
      <c r="XU117" s="21"/>
      <c r="XV117" s="21"/>
      <c r="XW117" s="21"/>
      <c r="XX117" s="21"/>
      <c r="XY117" s="21"/>
      <c r="XZ117" s="21"/>
      <c r="YA117" s="21"/>
      <c r="YB117" s="21"/>
      <c r="YC117" s="21"/>
      <c r="YD117" s="21"/>
      <c r="YE117" s="21"/>
      <c r="YF117" s="21"/>
      <c r="YG117" s="21"/>
      <c r="YH117" s="21"/>
      <c r="YI117" s="21"/>
      <c r="YJ117" s="21"/>
      <c r="YK117" s="21"/>
      <c r="YL117" s="21"/>
      <c r="YM117" s="21"/>
      <c r="YN117" s="21"/>
      <c r="YO117" s="21"/>
      <c r="YP117" s="21"/>
      <c r="YQ117" s="21"/>
      <c r="YR117" s="21"/>
      <c r="YS117" s="21"/>
      <c r="YT117" s="21"/>
      <c r="YU117" s="21"/>
      <c r="YV117" s="21"/>
      <c r="YW117" s="21"/>
      <c r="YX117" s="21"/>
      <c r="YY117" s="21"/>
      <c r="YZ117" s="21"/>
      <c r="ZA117" s="21"/>
      <c r="ZB117" s="21"/>
      <c r="ZC117" s="21"/>
      <c r="ZD117" s="21"/>
      <c r="ZE117" s="21"/>
      <c r="ZF117" s="21"/>
      <c r="ZG117" s="21"/>
      <c r="ZH117" s="21"/>
      <c r="ZI117" s="21"/>
      <c r="ZJ117" s="21"/>
      <c r="ZK117" s="21"/>
      <c r="ZL117" s="21"/>
      <c r="ZM117" s="21"/>
      <c r="ZN117" s="21"/>
      <c r="ZO117" s="21"/>
      <c r="ZP117" s="21"/>
      <c r="ZQ117" s="21"/>
      <c r="ZR117" s="21"/>
      <c r="ZS117" s="21"/>
      <c r="ZT117" s="21"/>
      <c r="ZU117" s="21"/>
      <c r="ZV117" s="21"/>
      <c r="ZW117" s="21"/>
      <c r="ZX117" s="21"/>
      <c r="ZY117" s="21"/>
      <c r="ZZ117" s="21"/>
      <c r="AAA117" s="21"/>
      <c r="AAB117" s="21"/>
      <c r="AAC117" s="21"/>
      <c r="AAD117" s="21"/>
      <c r="AAE117" s="21"/>
      <c r="AAF117" s="21"/>
      <c r="AAG117" s="21"/>
      <c r="AAH117" s="21"/>
      <c r="AAI117" s="21"/>
      <c r="AAJ117" s="21"/>
      <c r="AAK117" s="21"/>
      <c r="AAL117" s="21"/>
      <c r="AAM117" s="21"/>
      <c r="AAN117" s="21"/>
      <c r="AAO117" s="21"/>
      <c r="AAP117" s="21"/>
      <c r="AAQ117" s="21"/>
      <c r="AAR117" s="21"/>
      <c r="AAS117" s="21"/>
      <c r="AAT117" s="21"/>
      <c r="AAU117" s="21"/>
      <c r="AAV117" s="21"/>
      <c r="AAW117" s="21"/>
      <c r="AAX117" s="21"/>
      <c r="AAY117" s="21"/>
      <c r="AAZ117" s="21"/>
      <c r="ABA117" s="21"/>
      <c r="ABB117" s="21"/>
      <c r="ABC117" s="21"/>
      <c r="ABD117" s="21"/>
      <c r="ABE117" s="21"/>
      <c r="ABF117" s="21"/>
      <c r="ABG117" s="21"/>
      <c r="ABH117" s="21"/>
      <c r="ABI117" s="21"/>
      <c r="ABJ117" s="21"/>
      <c r="ABK117" s="21"/>
      <c r="ABL117" s="21"/>
      <c r="ABM117" s="21"/>
      <c r="ABN117" s="21"/>
      <c r="ABO117" s="21"/>
      <c r="ABP117" s="21"/>
      <c r="ABQ117" s="21"/>
      <c r="ABR117" s="21"/>
      <c r="ABS117" s="21"/>
      <c r="ABT117" s="21"/>
      <c r="ABU117" s="21"/>
      <c r="ABV117" s="21"/>
      <c r="ABW117" s="21"/>
      <c r="ABX117" s="21"/>
      <c r="ABY117" s="21"/>
      <c r="ABZ117" s="21"/>
      <c r="ACA117" s="21"/>
      <c r="ACB117" s="21"/>
      <c r="ACC117" s="21"/>
      <c r="ACD117" s="21"/>
      <c r="ACE117" s="21"/>
      <c r="ACF117" s="21"/>
      <c r="ACG117" s="21"/>
      <c r="ACH117" s="21"/>
      <c r="ACI117" s="21"/>
      <c r="ACJ117" s="21"/>
      <c r="ACK117" s="21"/>
      <c r="ACL117" s="21"/>
      <c r="ACM117" s="21"/>
      <c r="ACN117" s="21"/>
      <c r="ACO117" s="21"/>
      <c r="ACP117" s="21"/>
      <c r="ACQ117" s="21"/>
      <c r="ACR117" s="21"/>
      <c r="ACS117" s="21"/>
      <c r="ACT117" s="21"/>
      <c r="ACU117" s="21"/>
      <c r="ACV117" s="21"/>
      <c r="ACW117" s="21"/>
      <c r="ACX117" s="21"/>
      <c r="ACY117" s="21"/>
      <c r="ACZ117" s="21"/>
      <c r="ADA117" s="21"/>
      <c r="ADB117" s="21"/>
      <c r="ADC117" s="21"/>
      <c r="ADD117" s="21"/>
      <c r="ADE117" s="21"/>
      <c r="ADF117" s="21"/>
      <c r="ADG117" s="21"/>
      <c r="ADH117" s="21"/>
      <c r="ADI117" s="21"/>
      <c r="ADJ117" s="21"/>
      <c r="ADK117" s="21"/>
      <c r="ADL117" s="21"/>
      <c r="ADM117" s="21"/>
      <c r="ADN117" s="21"/>
      <c r="ADO117" s="21"/>
      <c r="ADP117" s="21"/>
      <c r="ADQ117" s="21"/>
      <c r="ADR117" s="21"/>
      <c r="ADS117" s="21"/>
      <c r="ADT117" s="21"/>
      <c r="ADU117" s="21"/>
      <c r="ADV117" s="21"/>
      <c r="ADW117" s="21"/>
      <c r="ADX117" s="21"/>
      <c r="ADY117" s="21"/>
      <c r="ADZ117" s="21"/>
      <c r="AEA117" s="21"/>
      <c r="AEB117" s="21"/>
      <c r="AEC117" s="21"/>
      <c r="AED117" s="21"/>
      <c r="AEE117" s="21"/>
      <c r="AEF117" s="21"/>
      <c r="AEG117" s="21"/>
    </row>
    <row r="118" spans="1:813" s="21" customFormat="1" ht="45" x14ac:dyDescent="0.25">
      <c r="A118" s="91">
        <v>46</v>
      </c>
      <c r="B118" s="81" t="s">
        <v>210</v>
      </c>
      <c r="C118" s="80" t="s">
        <v>209</v>
      </c>
      <c r="D118" s="63" t="s">
        <v>208</v>
      </c>
      <c r="E118" s="36" t="s">
        <v>207</v>
      </c>
      <c r="F118" s="63"/>
      <c r="G118" s="32"/>
      <c r="H118" s="32">
        <v>120</v>
      </c>
      <c r="I118" s="32"/>
      <c r="J118" s="32">
        <v>230</v>
      </c>
      <c r="K118" s="32"/>
      <c r="L118" s="32">
        <v>300</v>
      </c>
      <c r="M118" s="32"/>
      <c r="N118" s="32">
        <v>2000</v>
      </c>
      <c r="O118" s="32"/>
      <c r="P118" s="33">
        <v>385</v>
      </c>
      <c r="Q118" s="32"/>
      <c r="R118" s="32">
        <v>945</v>
      </c>
      <c r="S118" s="32"/>
      <c r="T118" s="32">
        <v>1360</v>
      </c>
      <c r="U118" s="32"/>
      <c r="V118" s="32">
        <v>305</v>
      </c>
      <c r="W118" s="32"/>
      <c r="X118" s="32">
        <v>235</v>
      </c>
      <c r="Y118" s="32"/>
      <c r="Z118" s="32">
        <v>1165</v>
      </c>
      <c r="AA118" s="32"/>
      <c r="AB118" s="32">
        <v>1000</v>
      </c>
      <c r="AC118" s="32"/>
      <c r="AD118" s="33">
        <v>125</v>
      </c>
      <c r="AE118" s="32"/>
      <c r="AF118" s="32">
        <f t="shared" si="37"/>
        <v>8170</v>
      </c>
      <c r="AG118" s="32"/>
      <c r="AH118" s="32"/>
      <c r="AI118" s="32"/>
      <c r="AJ118" s="31">
        <v>489580.41356243275</v>
      </c>
      <c r="AK118" s="31">
        <v>39879.636688487131</v>
      </c>
      <c r="AL118" s="31">
        <v>529460.05025091989</v>
      </c>
      <c r="AM118" s="30" t="s">
        <v>18</v>
      </c>
    </row>
    <row r="119" spans="1:813" s="21" customFormat="1" ht="60" x14ac:dyDescent="0.25">
      <c r="A119" s="91">
        <v>47</v>
      </c>
      <c r="B119" s="74" t="s">
        <v>206</v>
      </c>
      <c r="C119" s="34" t="s">
        <v>205</v>
      </c>
      <c r="D119" s="74" t="s">
        <v>204</v>
      </c>
      <c r="E119" s="40" t="s">
        <v>203</v>
      </c>
      <c r="F119" s="74"/>
      <c r="G119" s="32"/>
      <c r="H119" s="32">
        <v>65</v>
      </c>
      <c r="I119" s="32"/>
      <c r="J119" s="32">
        <v>200</v>
      </c>
      <c r="K119" s="32"/>
      <c r="L119" s="32">
        <v>240</v>
      </c>
      <c r="M119" s="32"/>
      <c r="N119" s="32">
        <v>865</v>
      </c>
      <c r="O119" s="32"/>
      <c r="P119" s="33">
        <v>25</v>
      </c>
      <c r="Q119" s="32"/>
      <c r="R119" s="32">
        <v>520</v>
      </c>
      <c r="S119" s="32"/>
      <c r="T119" s="32">
        <v>1105</v>
      </c>
      <c r="U119" s="32"/>
      <c r="V119" s="32">
        <v>285</v>
      </c>
      <c r="W119" s="32"/>
      <c r="X119" s="32">
        <v>90</v>
      </c>
      <c r="Y119" s="32"/>
      <c r="Z119" s="32">
        <v>85</v>
      </c>
      <c r="AA119" s="32"/>
      <c r="AB119" s="32">
        <v>700</v>
      </c>
      <c r="AC119" s="32"/>
      <c r="AD119" s="33">
        <v>465</v>
      </c>
      <c r="AE119" s="32"/>
      <c r="AF119" s="32">
        <f t="shared" si="37"/>
        <v>4645</v>
      </c>
      <c r="AG119" s="32"/>
      <c r="AH119" s="32"/>
      <c r="AI119" s="32">
        <v>15</v>
      </c>
      <c r="AJ119" s="31">
        <v>260530.20341361893</v>
      </c>
      <c r="AK119" s="31">
        <v>21221.947550783356</v>
      </c>
      <c r="AL119" s="31">
        <v>281752.1509644023</v>
      </c>
      <c r="AM119" s="30" t="s">
        <v>18</v>
      </c>
    </row>
    <row r="120" spans="1:813" s="21" customFormat="1" ht="60" x14ac:dyDescent="0.25">
      <c r="A120" s="179">
        <v>48</v>
      </c>
      <c r="B120" s="183" t="s">
        <v>202</v>
      </c>
      <c r="C120" s="80" t="s">
        <v>201</v>
      </c>
      <c r="D120" s="63" t="s">
        <v>196</v>
      </c>
      <c r="E120" s="36" t="s">
        <v>200</v>
      </c>
      <c r="F120" s="63"/>
      <c r="G120" s="32"/>
      <c r="H120" s="32">
        <v>600</v>
      </c>
      <c r="I120" s="32"/>
      <c r="J120" s="32">
        <v>900</v>
      </c>
      <c r="K120" s="32"/>
      <c r="L120" s="32">
        <v>2500</v>
      </c>
      <c r="M120" s="32"/>
      <c r="N120" s="32">
        <v>1000</v>
      </c>
      <c r="O120" s="32"/>
      <c r="P120" s="33">
        <v>2600</v>
      </c>
      <c r="Q120" s="32"/>
      <c r="R120" s="32">
        <v>1640</v>
      </c>
      <c r="S120" s="32"/>
      <c r="T120" s="32">
        <v>6360</v>
      </c>
      <c r="U120" s="32"/>
      <c r="V120" s="32">
        <v>1480</v>
      </c>
      <c r="W120" s="32"/>
      <c r="X120" s="32">
        <v>470</v>
      </c>
      <c r="Y120" s="32"/>
      <c r="Z120" s="32">
        <v>1610</v>
      </c>
      <c r="AA120" s="32"/>
      <c r="AB120" s="32">
        <v>2200</v>
      </c>
      <c r="AC120" s="32"/>
      <c r="AD120" s="33">
        <v>1500</v>
      </c>
      <c r="AE120" s="32"/>
      <c r="AF120" s="32">
        <f t="shared" si="37"/>
        <v>22860</v>
      </c>
      <c r="AG120" s="32"/>
      <c r="AH120" s="32"/>
      <c r="AI120" s="32">
        <v>1085</v>
      </c>
      <c r="AJ120" s="31">
        <v>1362119.6768499666</v>
      </c>
      <c r="AK120" s="31">
        <v>110953.86239770192</v>
      </c>
      <c r="AL120" s="31">
        <v>1473073.5392476686</v>
      </c>
      <c r="AM120" s="30" t="s">
        <v>134</v>
      </c>
    </row>
    <row r="121" spans="1:813" s="21" customFormat="1" ht="105" x14ac:dyDescent="0.25">
      <c r="A121" s="179"/>
      <c r="B121" s="183"/>
      <c r="C121" s="80" t="s">
        <v>199</v>
      </c>
      <c r="D121" s="63" t="s">
        <v>193</v>
      </c>
      <c r="E121" s="36" t="s">
        <v>198</v>
      </c>
      <c r="F121" s="63"/>
      <c r="G121" s="32"/>
      <c r="H121" s="32">
        <v>225</v>
      </c>
      <c r="I121" s="32"/>
      <c r="J121" s="32">
        <v>245</v>
      </c>
      <c r="K121" s="32"/>
      <c r="L121" s="32">
        <v>385</v>
      </c>
      <c r="M121" s="32"/>
      <c r="N121" s="32">
        <v>740</v>
      </c>
      <c r="O121" s="32"/>
      <c r="P121" s="33">
        <v>895</v>
      </c>
      <c r="Q121" s="32"/>
      <c r="R121" s="32">
        <v>1250</v>
      </c>
      <c r="S121" s="32"/>
      <c r="T121" s="32">
        <v>1410</v>
      </c>
      <c r="U121" s="32"/>
      <c r="V121" s="32">
        <v>710</v>
      </c>
      <c r="W121" s="32"/>
      <c r="X121" s="32">
        <v>190</v>
      </c>
      <c r="Y121" s="32"/>
      <c r="Z121" s="32">
        <v>395</v>
      </c>
      <c r="AA121" s="32"/>
      <c r="AB121" s="32">
        <v>355</v>
      </c>
      <c r="AC121" s="32"/>
      <c r="AD121" s="33">
        <v>430</v>
      </c>
      <c r="AE121" s="32"/>
      <c r="AF121" s="32">
        <f t="shared" si="37"/>
        <v>7230</v>
      </c>
      <c r="AG121" s="32"/>
      <c r="AH121" s="32"/>
      <c r="AI121" s="32">
        <v>5530</v>
      </c>
      <c r="AJ121" s="31">
        <v>828174.83867723681</v>
      </c>
      <c r="AK121" s="31">
        <v>67460.443200068708</v>
      </c>
      <c r="AL121" s="31">
        <v>895635.28187730548</v>
      </c>
      <c r="AM121" s="30" t="s">
        <v>18</v>
      </c>
    </row>
    <row r="122" spans="1:813" s="21" customFormat="1" ht="60" x14ac:dyDescent="0.25">
      <c r="A122" s="179"/>
      <c r="B122" s="183"/>
      <c r="C122" s="80" t="s">
        <v>197</v>
      </c>
      <c r="D122" s="63" t="s">
        <v>196</v>
      </c>
      <c r="E122" s="36" t="s">
        <v>195</v>
      </c>
      <c r="F122" s="63"/>
      <c r="G122" s="32"/>
      <c r="H122" s="32">
        <v>110</v>
      </c>
      <c r="I122" s="32"/>
      <c r="J122" s="32">
        <v>555</v>
      </c>
      <c r="K122" s="32"/>
      <c r="L122" s="32">
        <v>395</v>
      </c>
      <c r="M122" s="32"/>
      <c r="N122" s="32">
        <v>350</v>
      </c>
      <c r="O122" s="32"/>
      <c r="P122" s="33">
        <v>300</v>
      </c>
      <c r="Q122" s="32"/>
      <c r="R122" s="32">
        <v>190</v>
      </c>
      <c r="S122" s="32"/>
      <c r="T122" s="32">
        <v>480</v>
      </c>
      <c r="U122" s="32"/>
      <c r="V122" s="32">
        <v>290</v>
      </c>
      <c r="W122" s="32"/>
      <c r="X122" s="32">
        <v>300</v>
      </c>
      <c r="Y122" s="32"/>
      <c r="Z122" s="32">
        <v>35</v>
      </c>
      <c r="AA122" s="32"/>
      <c r="AB122" s="32">
        <v>345</v>
      </c>
      <c r="AC122" s="32"/>
      <c r="AD122" s="33">
        <v>290</v>
      </c>
      <c r="AE122" s="32"/>
      <c r="AF122" s="32">
        <f t="shared" si="37"/>
        <v>3640</v>
      </c>
      <c r="AG122" s="32"/>
      <c r="AH122" s="32"/>
      <c r="AI122" s="32">
        <v>225</v>
      </c>
      <c r="AJ122" s="31">
        <v>222569.03646088263</v>
      </c>
      <c r="AK122" s="31">
        <v>18129.753695783329</v>
      </c>
      <c r="AL122" s="31">
        <v>240698.79015666596</v>
      </c>
      <c r="AM122" s="30" t="s">
        <v>134</v>
      </c>
    </row>
    <row r="123" spans="1:813" s="21" customFormat="1" ht="105" x14ac:dyDescent="0.25">
      <c r="A123" s="179"/>
      <c r="B123" s="183"/>
      <c r="C123" s="80" t="s">
        <v>194</v>
      </c>
      <c r="D123" s="63" t="s">
        <v>193</v>
      </c>
      <c r="E123" s="36" t="s">
        <v>192</v>
      </c>
      <c r="F123" s="63"/>
      <c r="G123" s="32"/>
      <c r="H123" s="32">
        <v>15</v>
      </c>
      <c r="I123" s="32"/>
      <c r="J123" s="32">
        <v>185</v>
      </c>
      <c r="K123" s="32"/>
      <c r="L123" s="32">
        <v>200</v>
      </c>
      <c r="M123" s="32"/>
      <c r="N123" s="32">
        <v>305</v>
      </c>
      <c r="O123" s="32"/>
      <c r="P123" s="33">
        <v>155</v>
      </c>
      <c r="Q123" s="32"/>
      <c r="R123" s="32">
        <v>150</v>
      </c>
      <c r="S123" s="32"/>
      <c r="T123" s="32">
        <v>320</v>
      </c>
      <c r="U123" s="32"/>
      <c r="V123" s="32">
        <v>290</v>
      </c>
      <c r="W123" s="32"/>
      <c r="X123" s="32">
        <v>200</v>
      </c>
      <c r="Y123" s="32"/>
      <c r="Z123" s="32">
        <v>30</v>
      </c>
      <c r="AA123" s="32"/>
      <c r="AB123" s="32">
        <v>35</v>
      </c>
      <c r="AC123" s="32"/>
      <c r="AD123" s="33">
        <v>120</v>
      </c>
      <c r="AE123" s="32"/>
      <c r="AF123" s="32">
        <f t="shared" si="37"/>
        <v>2005</v>
      </c>
      <c r="AG123" s="32"/>
      <c r="AH123" s="32"/>
      <c r="AI123" s="32">
        <v>545</v>
      </c>
      <c r="AJ123" s="31">
        <v>156099.20402125194</v>
      </c>
      <c r="AK123" s="31">
        <v>12715.336176200404</v>
      </c>
      <c r="AL123" s="31">
        <v>168814.54019745233</v>
      </c>
      <c r="AM123" s="30" t="s">
        <v>18</v>
      </c>
    </row>
    <row r="124" spans="1:813" s="21" customFormat="1" ht="45" x14ac:dyDescent="0.25">
      <c r="A124" s="91">
        <v>49</v>
      </c>
      <c r="B124" s="74" t="s">
        <v>191</v>
      </c>
      <c r="C124" s="34" t="s">
        <v>190</v>
      </c>
      <c r="D124" s="74" t="s">
        <v>189</v>
      </c>
      <c r="E124" s="40" t="s">
        <v>188</v>
      </c>
      <c r="F124" s="74"/>
      <c r="G124" s="32"/>
      <c r="H124" s="32">
        <v>10</v>
      </c>
      <c r="I124" s="32"/>
      <c r="J124" s="32">
        <v>80</v>
      </c>
      <c r="K124" s="32"/>
      <c r="L124" s="32">
        <v>300</v>
      </c>
      <c r="M124" s="32"/>
      <c r="N124" s="32">
        <v>270</v>
      </c>
      <c r="O124" s="32"/>
      <c r="P124" s="33">
        <v>20</v>
      </c>
      <c r="Q124" s="32"/>
      <c r="R124" s="32">
        <v>100</v>
      </c>
      <c r="S124" s="32"/>
      <c r="T124" s="32">
        <v>205</v>
      </c>
      <c r="U124" s="32"/>
      <c r="V124" s="32">
        <v>190</v>
      </c>
      <c r="W124" s="32"/>
      <c r="X124" s="32">
        <v>70</v>
      </c>
      <c r="Y124" s="32"/>
      <c r="Z124" s="32">
        <v>60</v>
      </c>
      <c r="AA124" s="32"/>
      <c r="AB124" s="32">
        <v>40</v>
      </c>
      <c r="AC124" s="32"/>
      <c r="AD124" s="33">
        <v>75</v>
      </c>
      <c r="AE124" s="32"/>
      <c r="AF124" s="32">
        <f t="shared" si="37"/>
        <v>1420</v>
      </c>
      <c r="AG124" s="32"/>
      <c r="AH124" s="32"/>
      <c r="AI124" s="32"/>
      <c r="AJ124" s="31">
        <v>82299.509547029447</v>
      </c>
      <c r="AK124" s="31">
        <v>6703.8518074981621</v>
      </c>
      <c r="AL124" s="31">
        <v>89003.361354527617</v>
      </c>
      <c r="AM124" s="30" t="s">
        <v>134</v>
      </c>
    </row>
    <row r="125" spans="1:813" s="21" customFormat="1" ht="90" x14ac:dyDescent="0.25">
      <c r="A125" s="91">
        <v>50</v>
      </c>
      <c r="B125" s="81" t="s">
        <v>187</v>
      </c>
      <c r="C125" s="80" t="s">
        <v>186</v>
      </c>
      <c r="D125" s="63" t="s">
        <v>185</v>
      </c>
      <c r="E125" s="36" t="s">
        <v>184</v>
      </c>
      <c r="F125" s="63"/>
      <c r="G125" s="32"/>
      <c r="H125" s="32">
        <v>20</v>
      </c>
      <c r="I125" s="32"/>
      <c r="J125" s="32">
        <v>95</v>
      </c>
      <c r="K125" s="32"/>
      <c r="L125" s="32">
        <v>160</v>
      </c>
      <c r="M125" s="32"/>
      <c r="N125" s="32">
        <v>400</v>
      </c>
      <c r="O125" s="32"/>
      <c r="P125" s="33">
        <v>65</v>
      </c>
      <c r="Q125" s="32"/>
      <c r="R125" s="32">
        <v>100</v>
      </c>
      <c r="S125" s="32"/>
      <c r="T125" s="32">
        <v>225</v>
      </c>
      <c r="U125" s="32"/>
      <c r="V125" s="32">
        <v>190</v>
      </c>
      <c r="W125" s="32"/>
      <c r="X125" s="32">
        <v>140</v>
      </c>
      <c r="Y125" s="32"/>
      <c r="Z125" s="32">
        <v>45</v>
      </c>
      <c r="AA125" s="32"/>
      <c r="AB125" s="32">
        <v>15</v>
      </c>
      <c r="AC125" s="32"/>
      <c r="AD125" s="33">
        <v>135</v>
      </c>
      <c r="AE125" s="32"/>
      <c r="AF125" s="32">
        <f t="shared" si="37"/>
        <v>1590</v>
      </c>
      <c r="AG125" s="32"/>
      <c r="AH125" s="32"/>
      <c r="AI125" s="32"/>
      <c r="AJ125" s="31">
        <v>94938.311056067192</v>
      </c>
      <c r="AK125" s="31">
        <v>7733.3676917034691</v>
      </c>
      <c r="AL125" s="31">
        <v>102671.67874777067</v>
      </c>
      <c r="AM125" s="30" t="s">
        <v>18</v>
      </c>
    </row>
    <row r="126" spans="1:813" s="21" customFormat="1" ht="60" x14ac:dyDescent="0.25">
      <c r="A126" s="91">
        <v>51</v>
      </c>
      <c r="B126" s="74" t="s">
        <v>183</v>
      </c>
      <c r="C126" s="34" t="s">
        <v>182</v>
      </c>
      <c r="D126" s="74" t="s">
        <v>181</v>
      </c>
      <c r="E126" s="40" t="s">
        <v>180</v>
      </c>
      <c r="F126" s="74"/>
      <c r="G126" s="32"/>
      <c r="H126" s="32">
        <v>225</v>
      </c>
      <c r="I126" s="32"/>
      <c r="J126" s="32">
        <v>235</v>
      </c>
      <c r="K126" s="32"/>
      <c r="L126" s="32">
        <v>300</v>
      </c>
      <c r="M126" s="32"/>
      <c r="N126" s="32">
        <v>500</v>
      </c>
      <c r="O126" s="32"/>
      <c r="P126" s="33">
        <v>100</v>
      </c>
      <c r="Q126" s="32"/>
      <c r="R126" s="32">
        <v>400</v>
      </c>
      <c r="S126" s="32"/>
      <c r="T126" s="32">
        <v>485</v>
      </c>
      <c r="U126" s="32"/>
      <c r="V126" s="32">
        <v>540</v>
      </c>
      <c r="W126" s="32"/>
      <c r="X126" s="32">
        <v>120</v>
      </c>
      <c r="Y126" s="32"/>
      <c r="Z126" s="32">
        <v>10</v>
      </c>
      <c r="AA126" s="32"/>
      <c r="AB126" s="32">
        <v>200</v>
      </c>
      <c r="AC126" s="32"/>
      <c r="AD126" s="33">
        <v>300</v>
      </c>
      <c r="AE126" s="32"/>
      <c r="AF126" s="32">
        <f t="shared" si="37"/>
        <v>3415</v>
      </c>
      <c r="AG126" s="32"/>
      <c r="AH126" s="32"/>
      <c r="AI126" s="32"/>
      <c r="AJ126" s="31">
        <v>203436.85560515622</v>
      </c>
      <c r="AK126" s="31">
        <v>16571.308136180684</v>
      </c>
      <c r="AL126" s="31">
        <v>220008.1637413369</v>
      </c>
      <c r="AM126" s="30" t="s">
        <v>18</v>
      </c>
    </row>
    <row r="127" spans="1:813" s="21" customFormat="1" ht="45" x14ac:dyDescent="0.25">
      <c r="A127" s="91">
        <v>52</v>
      </c>
      <c r="B127" s="81" t="s">
        <v>179</v>
      </c>
      <c r="C127" s="80" t="s">
        <v>178</v>
      </c>
      <c r="D127" s="63" t="s">
        <v>177</v>
      </c>
      <c r="E127" s="36" t="s">
        <v>173</v>
      </c>
      <c r="F127" s="63"/>
      <c r="G127" s="32"/>
      <c r="H127" s="32">
        <v>25</v>
      </c>
      <c r="I127" s="32"/>
      <c r="J127" s="32">
        <v>165</v>
      </c>
      <c r="K127" s="32"/>
      <c r="L127" s="32">
        <v>195</v>
      </c>
      <c r="M127" s="32"/>
      <c r="N127" s="32">
        <v>400</v>
      </c>
      <c r="O127" s="32"/>
      <c r="P127" s="33">
        <v>40</v>
      </c>
      <c r="Q127" s="32"/>
      <c r="R127" s="32">
        <v>150</v>
      </c>
      <c r="S127" s="32"/>
      <c r="T127" s="32">
        <v>450</v>
      </c>
      <c r="U127" s="32"/>
      <c r="V127" s="32">
        <v>190</v>
      </c>
      <c r="W127" s="32"/>
      <c r="X127" s="32">
        <v>60</v>
      </c>
      <c r="Y127" s="32"/>
      <c r="Z127" s="32">
        <v>55</v>
      </c>
      <c r="AA127" s="32"/>
      <c r="AB127" s="32">
        <v>200</v>
      </c>
      <c r="AC127" s="32"/>
      <c r="AD127" s="33">
        <v>125</v>
      </c>
      <c r="AE127" s="32"/>
      <c r="AF127" s="32">
        <f t="shared" si="37"/>
        <v>2055</v>
      </c>
      <c r="AG127" s="32"/>
      <c r="AH127" s="32"/>
      <c r="AI127" s="32">
        <v>15</v>
      </c>
      <c r="AJ127" s="31">
        <v>122943.57120717681</v>
      </c>
      <c r="AK127" s="31">
        <v>10014.585586157482</v>
      </c>
      <c r="AL127" s="31">
        <v>132958.15679333429</v>
      </c>
      <c r="AM127" s="30" t="s">
        <v>18</v>
      </c>
    </row>
    <row r="128" spans="1:813" s="21" customFormat="1" ht="45" x14ac:dyDescent="0.25">
      <c r="A128" s="91">
        <v>53</v>
      </c>
      <c r="B128" s="81" t="s">
        <v>176</v>
      </c>
      <c r="C128" s="80" t="s">
        <v>175</v>
      </c>
      <c r="D128" s="63" t="s">
        <v>174</v>
      </c>
      <c r="E128" s="36" t="s">
        <v>173</v>
      </c>
      <c r="F128" s="63"/>
      <c r="G128" s="32"/>
      <c r="H128" s="32">
        <v>20</v>
      </c>
      <c r="I128" s="32"/>
      <c r="J128" s="32">
        <v>140</v>
      </c>
      <c r="K128" s="32"/>
      <c r="L128" s="32">
        <v>185</v>
      </c>
      <c r="M128" s="32"/>
      <c r="N128" s="32">
        <v>300</v>
      </c>
      <c r="O128" s="32"/>
      <c r="P128" s="33">
        <v>45</v>
      </c>
      <c r="Q128" s="32"/>
      <c r="R128" s="32">
        <v>100</v>
      </c>
      <c r="S128" s="32"/>
      <c r="T128" s="32">
        <v>195</v>
      </c>
      <c r="U128" s="32"/>
      <c r="V128" s="32">
        <v>185</v>
      </c>
      <c r="W128" s="32"/>
      <c r="X128" s="32">
        <v>85</v>
      </c>
      <c r="Y128" s="32"/>
      <c r="Z128" s="32">
        <v>10</v>
      </c>
      <c r="AA128" s="32"/>
      <c r="AB128" s="32">
        <v>70</v>
      </c>
      <c r="AC128" s="32"/>
      <c r="AD128" s="33">
        <v>120</v>
      </c>
      <c r="AE128" s="32"/>
      <c r="AF128" s="32">
        <f t="shared" si="37"/>
        <v>1455</v>
      </c>
      <c r="AG128" s="32"/>
      <c r="AH128" s="32"/>
      <c r="AI128" s="32"/>
      <c r="AJ128" s="31">
        <v>88879.941137095826</v>
      </c>
      <c r="AK128" s="31">
        <v>7239.8724770256731</v>
      </c>
      <c r="AL128" s="31">
        <v>96119.813614121493</v>
      </c>
      <c r="AM128" s="30" t="s">
        <v>18</v>
      </c>
    </row>
    <row r="129" spans="1:813" s="21" customFormat="1" ht="60.75" thickBot="1" x14ac:dyDescent="0.3">
      <c r="A129" s="90">
        <v>54</v>
      </c>
      <c r="B129" s="102" t="s">
        <v>172</v>
      </c>
      <c r="C129" s="89" t="s">
        <v>171</v>
      </c>
      <c r="D129" s="72" t="s">
        <v>170</v>
      </c>
      <c r="E129" s="73" t="s">
        <v>169</v>
      </c>
      <c r="F129" s="72"/>
      <c r="G129" s="58"/>
      <c r="H129" s="58"/>
      <c r="I129" s="58"/>
      <c r="J129" s="58"/>
      <c r="K129" s="58"/>
      <c r="L129" s="58"/>
      <c r="M129" s="58"/>
      <c r="N129" s="58"/>
      <c r="O129" s="58"/>
      <c r="P129" s="59"/>
      <c r="Q129" s="58"/>
      <c r="R129" s="58"/>
      <c r="S129" s="58"/>
      <c r="T129" s="58"/>
      <c r="U129" s="58"/>
      <c r="V129" s="58"/>
      <c r="W129" s="58"/>
      <c r="X129" s="58"/>
      <c r="Y129" s="58"/>
      <c r="Z129" s="58"/>
      <c r="AA129" s="58"/>
      <c r="AB129" s="58"/>
      <c r="AC129" s="58"/>
      <c r="AD129" s="59"/>
      <c r="AE129" s="58"/>
      <c r="AF129" s="58">
        <f t="shared" si="37"/>
        <v>0</v>
      </c>
      <c r="AG129" s="58"/>
      <c r="AH129" s="58"/>
      <c r="AI129" s="58">
        <v>350</v>
      </c>
      <c r="AJ129" s="57">
        <v>26986.283382442547</v>
      </c>
      <c r="AK129" s="57">
        <v>2198.2153432842051</v>
      </c>
      <c r="AL129" s="57">
        <v>29184.498725726753</v>
      </c>
      <c r="AM129" s="56" t="s">
        <v>18</v>
      </c>
    </row>
    <row r="130" spans="1:813" s="65" customFormat="1" ht="42" customHeight="1" thickBot="1" x14ac:dyDescent="0.3">
      <c r="A130" s="236" t="s">
        <v>168</v>
      </c>
      <c r="B130" s="237"/>
      <c r="C130" s="237"/>
      <c r="D130" s="237"/>
      <c r="E130" s="101"/>
      <c r="F130" s="100"/>
      <c r="G130" s="99"/>
      <c r="H130" s="99">
        <f>SUM(H131:H144)</f>
        <v>25</v>
      </c>
      <c r="I130" s="99"/>
      <c r="J130" s="99">
        <f>SUM(J131:J144)</f>
        <v>100</v>
      </c>
      <c r="K130" s="99"/>
      <c r="L130" s="99">
        <f>SUM(L131:L144)</f>
        <v>395</v>
      </c>
      <c r="M130" s="99"/>
      <c r="N130" s="99">
        <f>SUM(N131:N144)</f>
        <v>265</v>
      </c>
      <c r="O130" s="99"/>
      <c r="P130" s="99">
        <f>SUM(P131:P144)</f>
        <v>30</v>
      </c>
      <c r="Q130" s="99"/>
      <c r="R130" s="99">
        <f>SUM(R131:R144)</f>
        <v>100</v>
      </c>
      <c r="S130" s="99"/>
      <c r="T130" s="99">
        <f>SUM(T131:T144)</f>
        <v>190</v>
      </c>
      <c r="U130" s="99"/>
      <c r="V130" s="99">
        <f>SUM(V131:V144)</f>
        <v>570</v>
      </c>
      <c r="W130" s="99"/>
      <c r="X130" s="99">
        <f>SUM(X131:X144)</f>
        <v>125</v>
      </c>
      <c r="Y130" s="99"/>
      <c r="Z130" s="99">
        <f>SUM(Z131:Z144)</f>
        <v>20</v>
      </c>
      <c r="AA130" s="99"/>
      <c r="AB130" s="99">
        <f>SUM(AB131:AB144)</f>
        <v>10</v>
      </c>
      <c r="AC130" s="99"/>
      <c r="AD130" s="99">
        <f>SUM(AD131:AD144)</f>
        <v>75</v>
      </c>
      <c r="AE130" s="99">
        <f>SUM(AE131:AE144)</f>
        <v>7032</v>
      </c>
      <c r="AF130" s="98">
        <f>SUM(AF131:AF144)</f>
        <v>8937</v>
      </c>
      <c r="AG130" s="98"/>
      <c r="AH130" s="98"/>
      <c r="AI130" s="98">
        <f>SUM(AI131:AI144)</f>
        <v>28132</v>
      </c>
      <c r="AJ130" s="98">
        <f>SUM(AJ131:AJ144)</f>
        <v>2585149.0440133982</v>
      </c>
      <c r="AK130" s="98">
        <f>SUM(AK131:AK144)</f>
        <v>182765.54041302257</v>
      </c>
      <c r="AL130" s="97">
        <f>SUM(AL131:AL144)</f>
        <v>2767914.5844264203</v>
      </c>
      <c r="AM130" s="96"/>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row>
    <row r="131" spans="1:813" s="93" customFormat="1" ht="75" x14ac:dyDescent="0.25">
      <c r="A131" s="95">
        <v>55</v>
      </c>
      <c r="B131" s="94" t="s">
        <v>167</v>
      </c>
      <c r="C131" s="50" t="s">
        <v>166</v>
      </c>
      <c r="D131" s="94" t="s">
        <v>165</v>
      </c>
      <c r="E131" s="49" t="s">
        <v>164</v>
      </c>
      <c r="F131" s="64"/>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f t="shared" ref="AF131:AF144" si="38">SUM(G131:AE131)</f>
        <v>0</v>
      </c>
      <c r="AG131" s="33"/>
      <c r="AH131" s="33"/>
      <c r="AI131" s="33">
        <v>2240</v>
      </c>
      <c r="AJ131" s="46">
        <v>172712.21364763234</v>
      </c>
      <c r="AK131" s="46">
        <v>14068.578197018916</v>
      </c>
      <c r="AL131" s="46">
        <v>186780.79184465125</v>
      </c>
      <c r="AM131" s="45" t="s">
        <v>18</v>
      </c>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c r="FF131" s="21"/>
      <c r="FG131" s="21"/>
      <c r="FH131" s="21"/>
      <c r="FI131" s="21"/>
      <c r="FJ131" s="21"/>
      <c r="FK131" s="21"/>
      <c r="FL131" s="21"/>
      <c r="FM131" s="21"/>
      <c r="FN131" s="21"/>
      <c r="FO131" s="21"/>
      <c r="FP131" s="21"/>
      <c r="FQ131" s="21"/>
      <c r="FR131" s="21"/>
      <c r="FS131" s="21"/>
      <c r="FT131" s="21"/>
      <c r="FU131" s="21"/>
      <c r="FV131" s="21"/>
      <c r="FW131" s="21"/>
      <c r="FX131" s="21"/>
      <c r="FY131" s="21"/>
      <c r="FZ131" s="21"/>
      <c r="GA131" s="21"/>
      <c r="GB131" s="21"/>
      <c r="GC131" s="21"/>
      <c r="GD131" s="21"/>
      <c r="GE131" s="21"/>
      <c r="GF131" s="21"/>
      <c r="GG131" s="21"/>
      <c r="GH131" s="21"/>
      <c r="GI131" s="21"/>
      <c r="GJ131" s="21"/>
      <c r="GK131" s="21"/>
      <c r="GL131" s="21"/>
      <c r="GM131" s="21"/>
      <c r="GN131" s="21"/>
      <c r="GO131" s="21"/>
      <c r="GP131" s="21"/>
      <c r="GQ131" s="21"/>
      <c r="GR131" s="21"/>
      <c r="GS131" s="21"/>
      <c r="GT131" s="21"/>
      <c r="GU131" s="21"/>
      <c r="GV131" s="21"/>
      <c r="GW131" s="21"/>
      <c r="GX131" s="21"/>
      <c r="GY131" s="21"/>
      <c r="GZ131" s="21"/>
      <c r="HA131" s="21"/>
      <c r="HB131" s="21"/>
      <c r="HC131" s="21"/>
      <c r="HD131" s="21"/>
      <c r="HE131" s="21"/>
      <c r="HF131" s="21"/>
      <c r="HG131" s="21"/>
      <c r="HH131" s="21"/>
      <c r="HI131" s="21"/>
      <c r="HJ131" s="21"/>
      <c r="HK131" s="21"/>
      <c r="HL131" s="21"/>
      <c r="HM131" s="21"/>
      <c r="HN131" s="21"/>
      <c r="HO131" s="21"/>
      <c r="HP131" s="21"/>
      <c r="HQ131" s="21"/>
      <c r="HR131" s="21"/>
      <c r="HS131" s="21"/>
      <c r="HT131" s="21"/>
      <c r="HU131" s="21"/>
      <c r="HV131" s="21"/>
      <c r="HW131" s="21"/>
      <c r="HX131" s="21"/>
      <c r="HY131" s="21"/>
      <c r="HZ131" s="21"/>
      <c r="IA131" s="21"/>
      <c r="IB131" s="21"/>
      <c r="IC131" s="21"/>
      <c r="ID131" s="21"/>
      <c r="IE131" s="21"/>
      <c r="IF131" s="21"/>
      <c r="IG131" s="21"/>
      <c r="IH131" s="21"/>
      <c r="II131" s="21"/>
      <c r="IJ131" s="21"/>
      <c r="IK131" s="21"/>
      <c r="IL131" s="21"/>
      <c r="IM131" s="21"/>
      <c r="IN131" s="21"/>
      <c r="IO131" s="21"/>
      <c r="IP131" s="21"/>
      <c r="IQ131" s="21"/>
      <c r="IR131" s="21"/>
      <c r="IS131" s="21"/>
      <c r="IT131" s="21"/>
      <c r="IU131" s="21"/>
      <c r="IV131" s="21"/>
      <c r="IW131" s="21"/>
      <c r="IX131" s="21"/>
      <c r="IY131" s="21"/>
      <c r="IZ131" s="21"/>
      <c r="JA131" s="21"/>
      <c r="JB131" s="21"/>
      <c r="JC131" s="21"/>
      <c r="JD131" s="21"/>
      <c r="JE131" s="21"/>
      <c r="JF131" s="21"/>
      <c r="JG131" s="21"/>
      <c r="JH131" s="21"/>
      <c r="JI131" s="21"/>
      <c r="JJ131" s="21"/>
      <c r="JK131" s="21"/>
      <c r="JL131" s="21"/>
      <c r="JM131" s="21"/>
      <c r="JN131" s="21"/>
      <c r="JO131" s="21"/>
      <c r="JP131" s="21"/>
      <c r="JQ131" s="21"/>
      <c r="JR131" s="21"/>
      <c r="JS131" s="21"/>
      <c r="JT131" s="21"/>
      <c r="JU131" s="21"/>
      <c r="JV131" s="21"/>
      <c r="JW131" s="21"/>
      <c r="JX131" s="21"/>
      <c r="JY131" s="21"/>
      <c r="JZ131" s="21"/>
      <c r="KA131" s="21"/>
      <c r="KB131" s="21"/>
      <c r="KC131" s="21"/>
      <c r="KD131" s="21"/>
      <c r="KE131" s="21"/>
      <c r="KF131" s="21"/>
      <c r="KG131" s="21"/>
      <c r="KH131" s="21"/>
      <c r="KI131" s="21"/>
      <c r="KJ131" s="21"/>
      <c r="KK131" s="21"/>
      <c r="KL131" s="21"/>
      <c r="KM131" s="21"/>
      <c r="KN131" s="21"/>
      <c r="KO131" s="21"/>
      <c r="KP131" s="21"/>
      <c r="KQ131" s="21"/>
      <c r="KR131" s="21"/>
      <c r="KS131" s="21"/>
      <c r="KT131" s="21"/>
      <c r="KU131" s="21"/>
      <c r="KV131" s="21"/>
      <c r="KW131" s="21"/>
      <c r="KX131" s="21"/>
      <c r="KY131" s="21"/>
      <c r="KZ131" s="21"/>
      <c r="LA131" s="21"/>
      <c r="LB131" s="21"/>
      <c r="LC131" s="21"/>
      <c r="LD131" s="21"/>
      <c r="LE131" s="21"/>
      <c r="LF131" s="21"/>
      <c r="LG131" s="21"/>
      <c r="LH131" s="21"/>
      <c r="LI131" s="21"/>
      <c r="LJ131" s="21"/>
      <c r="LK131" s="21"/>
      <c r="LL131" s="21"/>
      <c r="LM131" s="21"/>
      <c r="LN131" s="21"/>
      <c r="LO131" s="21"/>
      <c r="LP131" s="21"/>
      <c r="LQ131" s="21"/>
      <c r="LR131" s="21"/>
      <c r="LS131" s="21"/>
      <c r="LT131" s="21"/>
      <c r="LU131" s="21"/>
      <c r="LV131" s="21"/>
      <c r="LW131" s="21"/>
      <c r="LX131" s="21"/>
      <c r="LY131" s="21"/>
      <c r="LZ131" s="21"/>
      <c r="MA131" s="21"/>
      <c r="MB131" s="21"/>
      <c r="MC131" s="21"/>
      <c r="MD131" s="21"/>
      <c r="ME131" s="21"/>
      <c r="MF131" s="21"/>
      <c r="MG131" s="21"/>
      <c r="MH131" s="21"/>
      <c r="MI131" s="21"/>
      <c r="MJ131" s="21"/>
      <c r="MK131" s="21"/>
      <c r="ML131" s="21"/>
      <c r="MM131" s="21"/>
      <c r="MN131" s="21"/>
      <c r="MO131" s="21"/>
      <c r="MP131" s="21"/>
      <c r="MQ131" s="21"/>
      <c r="MR131" s="21"/>
      <c r="MS131" s="21"/>
      <c r="MT131" s="21"/>
      <c r="MU131" s="21"/>
      <c r="MV131" s="21"/>
      <c r="MW131" s="21"/>
      <c r="MX131" s="21"/>
      <c r="MY131" s="21"/>
      <c r="MZ131" s="21"/>
      <c r="NA131" s="21"/>
      <c r="NB131" s="21"/>
      <c r="NC131" s="21"/>
      <c r="ND131" s="21"/>
      <c r="NE131" s="21"/>
      <c r="NF131" s="21"/>
      <c r="NG131" s="21"/>
      <c r="NH131" s="21"/>
      <c r="NI131" s="21"/>
      <c r="NJ131" s="21"/>
      <c r="NK131" s="21"/>
      <c r="NL131" s="21"/>
      <c r="NM131" s="21"/>
      <c r="NN131" s="21"/>
      <c r="NO131" s="21"/>
      <c r="NP131" s="21"/>
      <c r="NQ131" s="21"/>
      <c r="NR131" s="21"/>
      <c r="NS131" s="21"/>
      <c r="NT131" s="21"/>
      <c r="NU131" s="21"/>
      <c r="NV131" s="21"/>
      <c r="NW131" s="21"/>
      <c r="NX131" s="21"/>
      <c r="NY131" s="21"/>
      <c r="NZ131" s="21"/>
      <c r="OA131" s="21"/>
      <c r="OB131" s="21"/>
      <c r="OC131" s="21"/>
      <c r="OD131" s="21"/>
      <c r="OE131" s="21"/>
      <c r="OF131" s="21"/>
      <c r="OG131" s="21"/>
      <c r="OH131" s="21"/>
      <c r="OI131" s="21"/>
      <c r="OJ131" s="21"/>
      <c r="OK131" s="21"/>
      <c r="OL131" s="21"/>
      <c r="OM131" s="21"/>
      <c r="ON131" s="21"/>
      <c r="OO131" s="21"/>
      <c r="OP131" s="21"/>
      <c r="OQ131" s="21"/>
      <c r="OR131" s="21"/>
      <c r="OS131" s="21"/>
      <c r="OT131" s="21"/>
      <c r="OU131" s="21"/>
      <c r="OV131" s="21"/>
      <c r="OW131" s="21"/>
      <c r="OX131" s="21"/>
      <c r="OY131" s="21"/>
      <c r="OZ131" s="21"/>
      <c r="PA131" s="21"/>
      <c r="PB131" s="21"/>
      <c r="PC131" s="21"/>
      <c r="PD131" s="21"/>
      <c r="PE131" s="21"/>
      <c r="PF131" s="21"/>
      <c r="PG131" s="21"/>
      <c r="PH131" s="21"/>
      <c r="PI131" s="21"/>
      <c r="PJ131" s="21"/>
      <c r="PK131" s="21"/>
      <c r="PL131" s="21"/>
      <c r="PM131" s="21"/>
      <c r="PN131" s="21"/>
      <c r="PO131" s="21"/>
      <c r="PP131" s="21"/>
      <c r="PQ131" s="21"/>
      <c r="PR131" s="21"/>
      <c r="PS131" s="21"/>
      <c r="PT131" s="21"/>
      <c r="PU131" s="21"/>
      <c r="PV131" s="21"/>
      <c r="PW131" s="21"/>
      <c r="PX131" s="21"/>
      <c r="PY131" s="21"/>
      <c r="PZ131" s="21"/>
      <c r="QA131" s="21"/>
      <c r="QB131" s="21"/>
      <c r="QC131" s="21"/>
      <c r="QD131" s="21"/>
      <c r="QE131" s="21"/>
      <c r="QF131" s="21"/>
      <c r="QG131" s="21"/>
      <c r="QH131" s="21"/>
      <c r="QI131" s="21"/>
      <c r="QJ131" s="21"/>
      <c r="QK131" s="21"/>
      <c r="QL131" s="21"/>
      <c r="QM131" s="21"/>
      <c r="QN131" s="21"/>
      <c r="QO131" s="21"/>
      <c r="QP131" s="21"/>
      <c r="QQ131" s="21"/>
      <c r="QR131" s="21"/>
      <c r="QS131" s="21"/>
      <c r="QT131" s="21"/>
      <c r="QU131" s="21"/>
      <c r="QV131" s="21"/>
      <c r="QW131" s="21"/>
      <c r="QX131" s="21"/>
      <c r="QY131" s="21"/>
      <c r="QZ131" s="21"/>
      <c r="RA131" s="21"/>
      <c r="RB131" s="21"/>
      <c r="RC131" s="21"/>
      <c r="RD131" s="21"/>
      <c r="RE131" s="21"/>
      <c r="RF131" s="21"/>
      <c r="RG131" s="21"/>
      <c r="RH131" s="21"/>
      <c r="RI131" s="21"/>
      <c r="RJ131" s="21"/>
      <c r="RK131" s="21"/>
      <c r="RL131" s="21"/>
      <c r="RM131" s="21"/>
      <c r="RN131" s="21"/>
      <c r="RO131" s="21"/>
      <c r="RP131" s="21"/>
      <c r="RQ131" s="21"/>
      <c r="RR131" s="21"/>
      <c r="RS131" s="21"/>
      <c r="RT131" s="21"/>
      <c r="RU131" s="21"/>
      <c r="RV131" s="21"/>
      <c r="RW131" s="21"/>
      <c r="RX131" s="21"/>
      <c r="RY131" s="21"/>
      <c r="RZ131" s="21"/>
      <c r="SA131" s="21"/>
      <c r="SB131" s="21"/>
      <c r="SC131" s="21"/>
      <c r="SD131" s="21"/>
      <c r="SE131" s="21"/>
      <c r="SF131" s="21"/>
      <c r="SG131" s="21"/>
      <c r="SH131" s="21"/>
      <c r="SI131" s="21"/>
      <c r="SJ131" s="21"/>
      <c r="SK131" s="21"/>
      <c r="SL131" s="21"/>
      <c r="SM131" s="21"/>
      <c r="SN131" s="21"/>
      <c r="SO131" s="21"/>
      <c r="SP131" s="21"/>
      <c r="SQ131" s="21"/>
      <c r="SR131" s="21"/>
      <c r="SS131" s="21"/>
      <c r="ST131" s="21"/>
      <c r="SU131" s="21"/>
      <c r="SV131" s="21"/>
      <c r="SW131" s="21"/>
      <c r="SX131" s="21"/>
      <c r="SY131" s="21"/>
      <c r="SZ131" s="21"/>
      <c r="TA131" s="21"/>
      <c r="TB131" s="21"/>
      <c r="TC131" s="21"/>
      <c r="TD131" s="21"/>
      <c r="TE131" s="21"/>
      <c r="TF131" s="21"/>
      <c r="TG131" s="21"/>
      <c r="TH131" s="21"/>
      <c r="TI131" s="21"/>
      <c r="TJ131" s="21"/>
      <c r="TK131" s="21"/>
      <c r="TL131" s="21"/>
      <c r="TM131" s="21"/>
      <c r="TN131" s="21"/>
      <c r="TO131" s="21"/>
      <c r="TP131" s="21"/>
      <c r="TQ131" s="21"/>
      <c r="TR131" s="21"/>
      <c r="TS131" s="21"/>
      <c r="TT131" s="21"/>
      <c r="TU131" s="21"/>
      <c r="TV131" s="21"/>
      <c r="TW131" s="21"/>
      <c r="TX131" s="21"/>
      <c r="TY131" s="21"/>
      <c r="TZ131" s="21"/>
      <c r="UA131" s="21"/>
      <c r="UB131" s="21"/>
      <c r="UC131" s="21"/>
      <c r="UD131" s="21"/>
      <c r="UE131" s="21"/>
      <c r="UF131" s="21"/>
      <c r="UG131" s="21"/>
      <c r="UH131" s="21"/>
      <c r="UI131" s="21"/>
      <c r="UJ131" s="21"/>
      <c r="UK131" s="21"/>
      <c r="UL131" s="21"/>
      <c r="UM131" s="21"/>
      <c r="UN131" s="21"/>
      <c r="UO131" s="21"/>
      <c r="UP131" s="21"/>
      <c r="UQ131" s="21"/>
      <c r="UR131" s="21"/>
      <c r="US131" s="21"/>
      <c r="UT131" s="21"/>
      <c r="UU131" s="21"/>
      <c r="UV131" s="21"/>
      <c r="UW131" s="21"/>
      <c r="UX131" s="21"/>
      <c r="UY131" s="21"/>
      <c r="UZ131" s="21"/>
      <c r="VA131" s="21"/>
      <c r="VB131" s="21"/>
      <c r="VC131" s="21"/>
      <c r="VD131" s="21"/>
      <c r="VE131" s="21"/>
      <c r="VF131" s="21"/>
      <c r="VG131" s="21"/>
      <c r="VH131" s="21"/>
      <c r="VI131" s="21"/>
      <c r="VJ131" s="21"/>
      <c r="VK131" s="21"/>
      <c r="VL131" s="21"/>
      <c r="VM131" s="21"/>
      <c r="VN131" s="21"/>
      <c r="VO131" s="21"/>
      <c r="VP131" s="21"/>
      <c r="VQ131" s="21"/>
      <c r="VR131" s="21"/>
      <c r="VS131" s="21"/>
      <c r="VT131" s="21"/>
      <c r="VU131" s="21"/>
      <c r="VV131" s="21"/>
      <c r="VW131" s="21"/>
      <c r="VX131" s="21"/>
      <c r="VY131" s="21"/>
      <c r="VZ131" s="21"/>
      <c r="WA131" s="21"/>
      <c r="WB131" s="21"/>
      <c r="WC131" s="21"/>
      <c r="WD131" s="21"/>
      <c r="WE131" s="21"/>
      <c r="WF131" s="21"/>
      <c r="WG131" s="21"/>
      <c r="WH131" s="21"/>
      <c r="WI131" s="21"/>
      <c r="WJ131" s="21"/>
      <c r="WK131" s="21"/>
      <c r="WL131" s="21"/>
      <c r="WM131" s="21"/>
      <c r="WN131" s="21"/>
      <c r="WO131" s="21"/>
      <c r="WP131" s="21"/>
      <c r="WQ131" s="21"/>
      <c r="WR131" s="21"/>
      <c r="WS131" s="21"/>
      <c r="WT131" s="21"/>
      <c r="WU131" s="21"/>
      <c r="WV131" s="21"/>
      <c r="WW131" s="21"/>
      <c r="WX131" s="21"/>
      <c r="WY131" s="21"/>
      <c r="WZ131" s="21"/>
      <c r="XA131" s="21"/>
      <c r="XB131" s="21"/>
      <c r="XC131" s="21"/>
      <c r="XD131" s="21"/>
      <c r="XE131" s="21"/>
      <c r="XF131" s="21"/>
      <c r="XG131" s="21"/>
      <c r="XH131" s="21"/>
      <c r="XI131" s="21"/>
      <c r="XJ131" s="21"/>
      <c r="XK131" s="21"/>
      <c r="XL131" s="21"/>
      <c r="XM131" s="21"/>
      <c r="XN131" s="21"/>
      <c r="XO131" s="21"/>
      <c r="XP131" s="21"/>
      <c r="XQ131" s="21"/>
      <c r="XR131" s="21"/>
      <c r="XS131" s="21"/>
      <c r="XT131" s="21"/>
      <c r="XU131" s="21"/>
      <c r="XV131" s="21"/>
      <c r="XW131" s="21"/>
      <c r="XX131" s="21"/>
      <c r="XY131" s="21"/>
      <c r="XZ131" s="21"/>
      <c r="YA131" s="21"/>
      <c r="YB131" s="21"/>
      <c r="YC131" s="21"/>
      <c r="YD131" s="21"/>
      <c r="YE131" s="21"/>
      <c r="YF131" s="21"/>
      <c r="YG131" s="21"/>
      <c r="YH131" s="21"/>
      <c r="YI131" s="21"/>
      <c r="YJ131" s="21"/>
      <c r="YK131" s="21"/>
      <c r="YL131" s="21"/>
      <c r="YM131" s="21"/>
      <c r="YN131" s="21"/>
      <c r="YO131" s="21"/>
      <c r="YP131" s="21"/>
      <c r="YQ131" s="21"/>
      <c r="YR131" s="21"/>
      <c r="YS131" s="21"/>
      <c r="YT131" s="21"/>
      <c r="YU131" s="21"/>
      <c r="YV131" s="21"/>
      <c r="YW131" s="21"/>
      <c r="YX131" s="21"/>
      <c r="YY131" s="21"/>
      <c r="YZ131" s="21"/>
      <c r="ZA131" s="21"/>
      <c r="ZB131" s="21"/>
      <c r="ZC131" s="21"/>
      <c r="ZD131" s="21"/>
      <c r="ZE131" s="21"/>
      <c r="ZF131" s="21"/>
      <c r="ZG131" s="21"/>
      <c r="ZH131" s="21"/>
      <c r="ZI131" s="21"/>
      <c r="ZJ131" s="21"/>
      <c r="ZK131" s="21"/>
      <c r="ZL131" s="21"/>
      <c r="ZM131" s="21"/>
      <c r="ZN131" s="21"/>
      <c r="ZO131" s="21"/>
      <c r="ZP131" s="21"/>
      <c r="ZQ131" s="21"/>
      <c r="ZR131" s="21"/>
      <c r="ZS131" s="21"/>
      <c r="ZT131" s="21"/>
      <c r="ZU131" s="21"/>
      <c r="ZV131" s="21"/>
      <c r="ZW131" s="21"/>
      <c r="ZX131" s="21"/>
      <c r="ZY131" s="21"/>
      <c r="ZZ131" s="21"/>
      <c r="AAA131" s="21"/>
      <c r="AAB131" s="21"/>
      <c r="AAC131" s="21"/>
      <c r="AAD131" s="21"/>
      <c r="AAE131" s="21"/>
      <c r="AAF131" s="21"/>
      <c r="AAG131" s="21"/>
      <c r="AAH131" s="21"/>
      <c r="AAI131" s="21"/>
      <c r="AAJ131" s="21"/>
      <c r="AAK131" s="21"/>
      <c r="AAL131" s="21"/>
      <c r="AAM131" s="21"/>
      <c r="AAN131" s="21"/>
      <c r="AAO131" s="21"/>
      <c r="AAP131" s="21"/>
      <c r="AAQ131" s="21"/>
      <c r="AAR131" s="21"/>
      <c r="AAS131" s="21"/>
      <c r="AAT131" s="21"/>
      <c r="AAU131" s="21"/>
      <c r="AAV131" s="21"/>
      <c r="AAW131" s="21"/>
      <c r="AAX131" s="21"/>
      <c r="AAY131" s="21"/>
      <c r="AAZ131" s="21"/>
      <c r="ABA131" s="21"/>
      <c r="ABB131" s="21"/>
      <c r="ABC131" s="21"/>
      <c r="ABD131" s="21"/>
      <c r="ABE131" s="21"/>
      <c r="ABF131" s="21"/>
      <c r="ABG131" s="21"/>
      <c r="ABH131" s="21"/>
      <c r="ABI131" s="21"/>
      <c r="ABJ131" s="21"/>
      <c r="ABK131" s="21"/>
      <c r="ABL131" s="21"/>
      <c r="ABM131" s="21"/>
      <c r="ABN131" s="21"/>
      <c r="ABO131" s="21"/>
      <c r="ABP131" s="21"/>
      <c r="ABQ131" s="21"/>
      <c r="ABR131" s="21"/>
      <c r="ABS131" s="21"/>
      <c r="ABT131" s="21"/>
      <c r="ABU131" s="21"/>
      <c r="ABV131" s="21"/>
      <c r="ABW131" s="21"/>
      <c r="ABX131" s="21"/>
      <c r="ABY131" s="21"/>
      <c r="ABZ131" s="21"/>
      <c r="ACA131" s="21"/>
      <c r="ACB131" s="21"/>
      <c r="ACC131" s="21"/>
      <c r="ACD131" s="21"/>
      <c r="ACE131" s="21"/>
      <c r="ACF131" s="21"/>
      <c r="ACG131" s="21"/>
      <c r="ACH131" s="21"/>
      <c r="ACI131" s="21"/>
      <c r="ACJ131" s="21"/>
      <c r="ACK131" s="21"/>
      <c r="ACL131" s="21"/>
      <c r="ACM131" s="21"/>
      <c r="ACN131" s="21"/>
      <c r="ACO131" s="21"/>
      <c r="ACP131" s="21"/>
      <c r="ACQ131" s="21"/>
      <c r="ACR131" s="21"/>
      <c r="ACS131" s="21"/>
      <c r="ACT131" s="21"/>
      <c r="ACU131" s="21"/>
      <c r="ACV131" s="21"/>
      <c r="ACW131" s="21"/>
      <c r="ACX131" s="21"/>
      <c r="ACY131" s="21"/>
      <c r="ACZ131" s="21"/>
      <c r="ADA131" s="21"/>
      <c r="ADB131" s="21"/>
      <c r="ADC131" s="21"/>
      <c r="ADD131" s="21"/>
      <c r="ADE131" s="21"/>
      <c r="ADF131" s="21"/>
      <c r="ADG131" s="21"/>
      <c r="ADH131" s="21"/>
      <c r="ADI131" s="21"/>
      <c r="ADJ131" s="21"/>
      <c r="ADK131" s="21"/>
      <c r="ADL131" s="21"/>
      <c r="ADM131" s="21"/>
      <c r="ADN131" s="21"/>
      <c r="ADO131" s="21"/>
      <c r="ADP131" s="21"/>
      <c r="ADQ131" s="21"/>
      <c r="ADR131" s="21"/>
      <c r="ADS131" s="21"/>
      <c r="ADT131" s="21"/>
      <c r="ADU131" s="21"/>
      <c r="ADV131" s="21"/>
      <c r="ADW131" s="21"/>
      <c r="ADX131" s="21"/>
      <c r="ADY131" s="21"/>
      <c r="ADZ131" s="21"/>
      <c r="AEA131" s="21"/>
      <c r="AEB131" s="21"/>
      <c r="AEC131" s="21"/>
      <c r="AED131" s="21"/>
      <c r="AEE131" s="21"/>
      <c r="AEF131" s="21"/>
      <c r="AEG131" s="21"/>
    </row>
    <row r="132" spans="1:813" s="93" customFormat="1" ht="45" x14ac:dyDescent="0.25">
      <c r="A132" s="91">
        <v>56</v>
      </c>
      <c r="B132" s="81" t="s">
        <v>163</v>
      </c>
      <c r="C132" s="80" t="s">
        <v>162</v>
      </c>
      <c r="D132" s="63" t="s">
        <v>161</v>
      </c>
      <c r="E132" s="36" t="s">
        <v>160</v>
      </c>
      <c r="F132" s="63"/>
      <c r="G132" s="32"/>
      <c r="H132" s="32"/>
      <c r="I132" s="32"/>
      <c r="J132" s="32"/>
      <c r="K132" s="32"/>
      <c r="L132" s="32"/>
      <c r="M132" s="32"/>
      <c r="N132" s="32"/>
      <c r="O132" s="32"/>
      <c r="P132" s="33"/>
      <c r="Q132" s="32"/>
      <c r="R132" s="32"/>
      <c r="S132" s="32"/>
      <c r="T132" s="32"/>
      <c r="U132" s="32"/>
      <c r="V132" s="32"/>
      <c r="W132" s="32"/>
      <c r="X132" s="32"/>
      <c r="Y132" s="32"/>
      <c r="Z132" s="32"/>
      <c r="AA132" s="32"/>
      <c r="AB132" s="32"/>
      <c r="AC132" s="32"/>
      <c r="AD132" s="33"/>
      <c r="AE132" s="32"/>
      <c r="AF132" s="32">
        <f t="shared" si="38"/>
        <v>0</v>
      </c>
      <c r="AG132" s="32"/>
      <c r="AH132" s="32"/>
      <c r="AI132" s="32">
        <v>15822</v>
      </c>
      <c r="AJ132" s="31">
        <v>1299000</v>
      </c>
      <c r="AK132" s="31">
        <v>78000</v>
      </c>
      <c r="AL132" s="31">
        <v>1377000</v>
      </c>
      <c r="AM132" s="30">
        <v>890</v>
      </c>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c r="FF132" s="21"/>
      <c r="FG132" s="21"/>
      <c r="FH132" s="21"/>
      <c r="FI132" s="21"/>
      <c r="FJ132" s="21"/>
      <c r="FK132" s="21"/>
      <c r="FL132" s="21"/>
      <c r="FM132" s="21"/>
      <c r="FN132" s="21"/>
      <c r="FO132" s="21"/>
      <c r="FP132" s="21"/>
      <c r="FQ132" s="21"/>
      <c r="FR132" s="21"/>
      <c r="FS132" s="21"/>
      <c r="FT132" s="21"/>
      <c r="FU132" s="21"/>
      <c r="FV132" s="21"/>
      <c r="FW132" s="21"/>
      <c r="FX132" s="21"/>
      <c r="FY132" s="21"/>
      <c r="FZ132" s="21"/>
      <c r="GA132" s="21"/>
      <c r="GB132" s="21"/>
      <c r="GC132" s="21"/>
      <c r="GD132" s="21"/>
      <c r="GE132" s="21"/>
      <c r="GF132" s="21"/>
      <c r="GG132" s="21"/>
      <c r="GH132" s="21"/>
      <c r="GI132" s="21"/>
      <c r="GJ132" s="21"/>
      <c r="GK132" s="21"/>
      <c r="GL132" s="21"/>
      <c r="GM132" s="21"/>
      <c r="GN132" s="21"/>
      <c r="GO132" s="21"/>
      <c r="GP132" s="21"/>
      <c r="GQ132" s="21"/>
      <c r="GR132" s="21"/>
      <c r="GS132" s="21"/>
      <c r="GT132" s="21"/>
      <c r="GU132" s="21"/>
      <c r="GV132" s="21"/>
      <c r="GW132" s="21"/>
      <c r="GX132" s="21"/>
      <c r="GY132" s="21"/>
      <c r="GZ132" s="21"/>
      <c r="HA132" s="21"/>
      <c r="HB132" s="21"/>
      <c r="HC132" s="21"/>
      <c r="HD132" s="21"/>
      <c r="HE132" s="21"/>
      <c r="HF132" s="21"/>
      <c r="HG132" s="21"/>
      <c r="HH132" s="21"/>
      <c r="HI132" s="21"/>
      <c r="HJ132" s="21"/>
      <c r="HK132" s="21"/>
      <c r="HL132" s="21"/>
      <c r="HM132" s="21"/>
      <c r="HN132" s="21"/>
      <c r="HO132" s="21"/>
      <c r="HP132" s="21"/>
      <c r="HQ132" s="21"/>
      <c r="HR132" s="21"/>
      <c r="HS132" s="21"/>
      <c r="HT132" s="21"/>
      <c r="HU132" s="21"/>
      <c r="HV132" s="21"/>
      <c r="HW132" s="21"/>
      <c r="HX132" s="21"/>
      <c r="HY132" s="21"/>
      <c r="HZ132" s="21"/>
      <c r="IA132" s="21"/>
      <c r="IB132" s="21"/>
      <c r="IC132" s="21"/>
      <c r="ID132" s="21"/>
      <c r="IE132" s="21"/>
      <c r="IF132" s="21"/>
      <c r="IG132" s="21"/>
      <c r="IH132" s="21"/>
      <c r="II132" s="21"/>
      <c r="IJ132" s="21"/>
      <c r="IK132" s="21"/>
      <c r="IL132" s="21"/>
      <c r="IM132" s="21"/>
      <c r="IN132" s="21"/>
      <c r="IO132" s="21"/>
      <c r="IP132" s="21"/>
      <c r="IQ132" s="21"/>
      <c r="IR132" s="21"/>
      <c r="IS132" s="21"/>
      <c r="IT132" s="21"/>
      <c r="IU132" s="21"/>
      <c r="IV132" s="21"/>
      <c r="IW132" s="21"/>
      <c r="IX132" s="21"/>
      <c r="IY132" s="21"/>
      <c r="IZ132" s="21"/>
      <c r="JA132" s="21"/>
      <c r="JB132" s="21"/>
      <c r="JC132" s="21"/>
      <c r="JD132" s="21"/>
      <c r="JE132" s="21"/>
      <c r="JF132" s="21"/>
      <c r="JG132" s="21"/>
      <c r="JH132" s="21"/>
      <c r="JI132" s="21"/>
      <c r="JJ132" s="21"/>
      <c r="JK132" s="21"/>
      <c r="JL132" s="21"/>
      <c r="JM132" s="21"/>
      <c r="JN132" s="21"/>
      <c r="JO132" s="21"/>
      <c r="JP132" s="21"/>
      <c r="JQ132" s="21"/>
      <c r="JR132" s="21"/>
      <c r="JS132" s="21"/>
      <c r="JT132" s="21"/>
      <c r="JU132" s="21"/>
      <c r="JV132" s="21"/>
      <c r="JW132" s="21"/>
      <c r="JX132" s="21"/>
      <c r="JY132" s="21"/>
      <c r="JZ132" s="21"/>
      <c r="KA132" s="21"/>
      <c r="KB132" s="21"/>
      <c r="KC132" s="21"/>
      <c r="KD132" s="21"/>
      <c r="KE132" s="21"/>
      <c r="KF132" s="21"/>
      <c r="KG132" s="21"/>
      <c r="KH132" s="21"/>
      <c r="KI132" s="21"/>
      <c r="KJ132" s="21"/>
      <c r="KK132" s="21"/>
      <c r="KL132" s="21"/>
      <c r="KM132" s="21"/>
      <c r="KN132" s="21"/>
      <c r="KO132" s="21"/>
      <c r="KP132" s="21"/>
      <c r="KQ132" s="21"/>
      <c r="KR132" s="21"/>
      <c r="KS132" s="21"/>
      <c r="KT132" s="21"/>
      <c r="KU132" s="21"/>
      <c r="KV132" s="21"/>
      <c r="KW132" s="21"/>
      <c r="KX132" s="21"/>
      <c r="KY132" s="21"/>
      <c r="KZ132" s="21"/>
      <c r="LA132" s="21"/>
      <c r="LB132" s="21"/>
      <c r="LC132" s="21"/>
      <c r="LD132" s="21"/>
      <c r="LE132" s="21"/>
      <c r="LF132" s="21"/>
      <c r="LG132" s="21"/>
      <c r="LH132" s="21"/>
      <c r="LI132" s="21"/>
      <c r="LJ132" s="21"/>
      <c r="LK132" s="21"/>
      <c r="LL132" s="21"/>
      <c r="LM132" s="21"/>
      <c r="LN132" s="21"/>
      <c r="LO132" s="21"/>
      <c r="LP132" s="21"/>
      <c r="LQ132" s="21"/>
      <c r="LR132" s="21"/>
      <c r="LS132" s="21"/>
      <c r="LT132" s="21"/>
      <c r="LU132" s="21"/>
      <c r="LV132" s="21"/>
      <c r="LW132" s="21"/>
      <c r="LX132" s="21"/>
      <c r="LY132" s="21"/>
      <c r="LZ132" s="21"/>
      <c r="MA132" s="21"/>
      <c r="MB132" s="21"/>
      <c r="MC132" s="21"/>
      <c r="MD132" s="21"/>
      <c r="ME132" s="21"/>
      <c r="MF132" s="21"/>
      <c r="MG132" s="21"/>
      <c r="MH132" s="21"/>
      <c r="MI132" s="21"/>
      <c r="MJ132" s="21"/>
      <c r="MK132" s="21"/>
      <c r="ML132" s="21"/>
      <c r="MM132" s="21"/>
      <c r="MN132" s="21"/>
      <c r="MO132" s="21"/>
      <c r="MP132" s="21"/>
      <c r="MQ132" s="21"/>
      <c r="MR132" s="21"/>
      <c r="MS132" s="21"/>
      <c r="MT132" s="21"/>
      <c r="MU132" s="21"/>
      <c r="MV132" s="21"/>
      <c r="MW132" s="21"/>
      <c r="MX132" s="21"/>
      <c r="MY132" s="21"/>
      <c r="MZ132" s="21"/>
      <c r="NA132" s="21"/>
      <c r="NB132" s="21"/>
      <c r="NC132" s="21"/>
      <c r="ND132" s="21"/>
      <c r="NE132" s="21"/>
      <c r="NF132" s="21"/>
      <c r="NG132" s="21"/>
      <c r="NH132" s="21"/>
      <c r="NI132" s="21"/>
      <c r="NJ132" s="21"/>
      <c r="NK132" s="21"/>
      <c r="NL132" s="21"/>
      <c r="NM132" s="21"/>
      <c r="NN132" s="21"/>
      <c r="NO132" s="21"/>
      <c r="NP132" s="21"/>
      <c r="NQ132" s="21"/>
      <c r="NR132" s="21"/>
      <c r="NS132" s="21"/>
      <c r="NT132" s="21"/>
      <c r="NU132" s="21"/>
      <c r="NV132" s="21"/>
      <c r="NW132" s="21"/>
      <c r="NX132" s="21"/>
      <c r="NY132" s="21"/>
      <c r="NZ132" s="21"/>
      <c r="OA132" s="21"/>
      <c r="OB132" s="21"/>
      <c r="OC132" s="21"/>
      <c r="OD132" s="21"/>
      <c r="OE132" s="21"/>
      <c r="OF132" s="21"/>
      <c r="OG132" s="21"/>
      <c r="OH132" s="21"/>
      <c r="OI132" s="21"/>
      <c r="OJ132" s="21"/>
      <c r="OK132" s="21"/>
      <c r="OL132" s="21"/>
      <c r="OM132" s="21"/>
      <c r="ON132" s="21"/>
      <c r="OO132" s="21"/>
      <c r="OP132" s="21"/>
      <c r="OQ132" s="21"/>
      <c r="OR132" s="21"/>
      <c r="OS132" s="21"/>
      <c r="OT132" s="21"/>
      <c r="OU132" s="21"/>
      <c r="OV132" s="21"/>
      <c r="OW132" s="21"/>
      <c r="OX132" s="21"/>
      <c r="OY132" s="21"/>
      <c r="OZ132" s="21"/>
      <c r="PA132" s="21"/>
      <c r="PB132" s="21"/>
      <c r="PC132" s="21"/>
      <c r="PD132" s="21"/>
      <c r="PE132" s="21"/>
      <c r="PF132" s="21"/>
      <c r="PG132" s="21"/>
      <c r="PH132" s="21"/>
      <c r="PI132" s="21"/>
      <c r="PJ132" s="21"/>
      <c r="PK132" s="21"/>
      <c r="PL132" s="21"/>
      <c r="PM132" s="21"/>
      <c r="PN132" s="21"/>
      <c r="PO132" s="21"/>
      <c r="PP132" s="21"/>
      <c r="PQ132" s="21"/>
      <c r="PR132" s="21"/>
      <c r="PS132" s="21"/>
      <c r="PT132" s="21"/>
      <c r="PU132" s="21"/>
      <c r="PV132" s="21"/>
      <c r="PW132" s="21"/>
      <c r="PX132" s="21"/>
      <c r="PY132" s="21"/>
      <c r="PZ132" s="21"/>
      <c r="QA132" s="21"/>
      <c r="QB132" s="21"/>
      <c r="QC132" s="21"/>
      <c r="QD132" s="21"/>
      <c r="QE132" s="21"/>
      <c r="QF132" s="21"/>
      <c r="QG132" s="21"/>
      <c r="QH132" s="21"/>
      <c r="QI132" s="21"/>
      <c r="QJ132" s="21"/>
      <c r="QK132" s="21"/>
      <c r="QL132" s="21"/>
      <c r="QM132" s="21"/>
      <c r="QN132" s="21"/>
      <c r="QO132" s="21"/>
      <c r="QP132" s="21"/>
      <c r="QQ132" s="21"/>
      <c r="QR132" s="21"/>
      <c r="QS132" s="21"/>
      <c r="QT132" s="21"/>
      <c r="QU132" s="21"/>
      <c r="QV132" s="21"/>
      <c r="QW132" s="21"/>
      <c r="QX132" s="21"/>
      <c r="QY132" s="21"/>
      <c r="QZ132" s="21"/>
      <c r="RA132" s="21"/>
      <c r="RB132" s="21"/>
      <c r="RC132" s="21"/>
      <c r="RD132" s="21"/>
      <c r="RE132" s="21"/>
      <c r="RF132" s="21"/>
      <c r="RG132" s="21"/>
      <c r="RH132" s="21"/>
      <c r="RI132" s="21"/>
      <c r="RJ132" s="21"/>
      <c r="RK132" s="21"/>
      <c r="RL132" s="21"/>
      <c r="RM132" s="21"/>
      <c r="RN132" s="21"/>
      <c r="RO132" s="21"/>
      <c r="RP132" s="21"/>
      <c r="RQ132" s="21"/>
      <c r="RR132" s="21"/>
      <c r="RS132" s="21"/>
      <c r="RT132" s="21"/>
      <c r="RU132" s="21"/>
      <c r="RV132" s="21"/>
      <c r="RW132" s="21"/>
      <c r="RX132" s="21"/>
      <c r="RY132" s="21"/>
      <c r="RZ132" s="21"/>
      <c r="SA132" s="21"/>
      <c r="SB132" s="21"/>
      <c r="SC132" s="21"/>
      <c r="SD132" s="21"/>
      <c r="SE132" s="21"/>
      <c r="SF132" s="21"/>
      <c r="SG132" s="21"/>
      <c r="SH132" s="21"/>
      <c r="SI132" s="21"/>
      <c r="SJ132" s="21"/>
      <c r="SK132" s="21"/>
      <c r="SL132" s="21"/>
      <c r="SM132" s="21"/>
      <c r="SN132" s="21"/>
      <c r="SO132" s="21"/>
      <c r="SP132" s="21"/>
      <c r="SQ132" s="21"/>
      <c r="SR132" s="21"/>
      <c r="SS132" s="21"/>
      <c r="ST132" s="21"/>
      <c r="SU132" s="21"/>
      <c r="SV132" s="21"/>
      <c r="SW132" s="21"/>
      <c r="SX132" s="21"/>
      <c r="SY132" s="21"/>
      <c r="SZ132" s="21"/>
      <c r="TA132" s="21"/>
      <c r="TB132" s="21"/>
      <c r="TC132" s="21"/>
      <c r="TD132" s="21"/>
      <c r="TE132" s="21"/>
      <c r="TF132" s="21"/>
      <c r="TG132" s="21"/>
      <c r="TH132" s="21"/>
      <c r="TI132" s="21"/>
      <c r="TJ132" s="21"/>
      <c r="TK132" s="21"/>
      <c r="TL132" s="21"/>
      <c r="TM132" s="21"/>
      <c r="TN132" s="21"/>
      <c r="TO132" s="21"/>
      <c r="TP132" s="21"/>
      <c r="TQ132" s="21"/>
      <c r="TR132" s="21"/>
      <c r="TS132" s="21"/>
      <c r="TT132" s="21"/>
      <c r="TU132" s="21"/>
      <c r="TV132" s="21"/>
      <c r="TW132" s="21"/>
      <c r="TX132" s="21"/>
      <c r="TY132" s="21"/>
      <c r="TZ132" s="21"/>
      <c r="UA132" s="21"/>
      <c r="UB132" s="21"/>
      <c r="UC132" s="21"/>
      <c r="UD132" s="21"/>
      <c r="UE132" s="21"/>
      <c r="UF132" s="21"/>
      <c r="UG132" s="21"/>
      <c r="UH132" s="21"/>
      <c r="UI132" s="21"/>
      <c r="UJ132" s="21"/>
      <c r="UK132" s="21"/>
      <c r="UL132" s="21"/>
      <c r="UM132" s="21"/>
      <c r="UN132" s="21"/>
      <c r="UO132" s="21"/>
      <c r="UP132" s="21"/>
      <c r="UQ132" s="21"/>
      <c r="UR132" s="21"/>
      <c r="US132" s="21"/>
      <c r="UT132" s="21"/>
      <c r="UU132" s="21"/>
      <c r="UV132" s="21"/>
      <c r="UW132" s="21"/>
      <c r="UX132" s="21"/>
      <c r="UY132" s="21"/>
      <c r="UZ132" s="21"/>
      <c r="VA132" s="21"/>
      <c r="VB132" s="21"/>
      <c r="VC132" s="21"/>
      <c r="VD132" s="21"/>
      <c r="VE132" s="21"/>
      <c r="VF132" s="21"/>
      <c r="VG132" s="21"/>
      <c r="VH132" s="21"/>
      <c r="VI132" s="21"/>
      <c r="VJ132" s="21"/>
      <c r="VK132" s="21"/>
      <c r="VL132" s="21"/>
      <c r="VM132" s="21"/>
      <c r="VN132" s="21"/>
      <c r="VO132" s="21"/>
      <c r="VP132" s="21"/>
      <c r="VQ132" s="21"/>
      <c r="VR132" s="21"/>
      <c r="VS132" s="21"/>
      <c r="VT132" s="21"/>
      <c r="VU132" s="21"/>
      <c r="VV132" s="21"/>
      <c r="VW132" s="21"/>
      <c r="VX132" s="21"/>
      <c r="VY132" s="21"/>
      <c r="VZ132" s="21"/>
      <c r="WA132" s="21"/>
      <c r="WB132" s="21"/>
      <c r="WC132" s="21"/>
      <c r="WD132" s="21"/>
      <c r="WE132" s="21"/>
      <c r="WF132" s="21"/>
      <c r="WG132" s="21"/>
      <c r="WH132" s="21"/>
      <c r="WI132" s="21"/>
      <c r="WJ132" s="21"/>
      <c r="WK132" s="21"/>
      <c r="WL132" s="21"/>
      <c r="WM132" s="21"/>
      <c r="WN132" s="21"/>
      <c r="WO132" s="21"/>
      <c r="WP132" s="21"/>
      <c r="WQ132" s="21"/>
      <c r="WR132" s="21"/>
      <c r="WS132" s="21"/>
      <c r="WT132" s="21"/>
      <c r="WU132" s="21"/>
      <c r="WV132" s="21"/>
      <c r="WW132" s="21"/>
      <c r="WX132" s="21"/>
      <c r="WY132" s="21"/>
      <c r="WZ132" s="21"/>
      <c r="XA132" s="21"/>
      <c r="XB132" s="21"/>
      <c r="XC132" s="21"/>
      <c r="XD132" s="21"/>
      <c r="XE132" s="21"/>
      <c r="XF132" s="21"/>
      <c r="XG132" s="21"/>
      <c r="XH132" s="21"/>
      <c r="XI132" s="21"/>
      <c r="XJ132" s="21"/>
      <c r="XK132" s="21"/>
      <c r="XL132" s="21"/>
      <c r="XM132" s="21"/>
      <c r="XN132" s="21"/>
      <c r="XO132" s="21"/>
      <c r="XP132" s="21"/>
      <c r="XQ132" s="21"/>
      <c r="XR132" s="21"/>
      <c r="XS132" s="21"/>
      <c r="XT132" s="21"/>
      <c r="XU132" s="21"/>
      <c r="XV132" s="21"/>
      <c r="XW132" s="21"/>
      <c r="XX132" s="21"/>
      <c r="XY132" s="21"/>
      <c r="XZ132" s="21"/>
      <c r="YA132" s="21"/>
      <c r="YB132" s="21"/>
      <c r="YC132" s="21"/>
      <c r="YD132" s="21"/>
      <c r="YE132" s="21"/>
      <c r="YF132" s="21"/>
      <c r="YG132" s="21"/>
      <c r="YH132" s="21"/>
      <c r="YI132" s="21"/>
      <c r="YJ132" s="21"/>
      <c r="YK132" s="21"/>
      <c r="YL132" s="21"/>
      <c r="YM132" s="21"/>
      <c r="YN132" s="21"/>
      <c r="YO132" s="21"/>
      <c r="YP132" s="21"/>
      <c r="YQ132" s="21"/>
      <c r="YR132" s="21"/>
      <c r="YS132" s="21"/>
      <c r="YT132" s="21"/>
      <c r="YU132" s="21"/>
      <c r="YV132" s="21"/>
      <c r="YW132" s="21"/>
      <c r="YX132" s="21"/>
      <c r="YY132" s="21"/>
      <c r="YZ132" s="21"/>
      <c r="ZA132" s="21"/>
      <c r="ZB132" s="21"/>
      <c r="ZC132" s="21"/>
      <c r="ZD132" s="21"/>
      <c r="ZE132" s="21"/>
      <c r="ZF132" s="21"/>
      <c r="ZG132" s="21"/>
      <c r="ZH132" s="21"/>
      <c r="ZI132" s="21"/>
      <c r="ZJ132" s="21"/>
      <c r="ZK132" s="21"/>
      <c r="ZL132" s="21"/>
      <c r="ZM132" s="21"/>
      <c r="ZN132" s="21"/>
      <c r="ZO132" s="21"/>
      <c r="ZP132" s="21"/>
      <c r="ZQ132" s="21"/>
      <c r="ZR132" s="21"/>
      <c r="ZS132" s="21"/>
      <c r="ZT132" s="21"/>
      <c r="ZU132" s="21"/>
      <c r="ZV132" s="21"/>
      <c r="ZW132" s="21"/>
      <c r="ZX132" s="21"/>
      <c r="ZY132" s="21"/>
      <c r="ZZ132" s="21"/>
      <c r="AAA132" s="21"/>
      <c r="AAB132" s="21"/>
      <c r="AAC132" s="21"/>
      <c r="AAD132" s="21"/>
      <c r="AAE132" s="21"/>
      <c r="AAF132" s="21"/>
      <c r="AAG132" s="21"/>
      <c r="AAH132" s="21"/>
      <c r="AAI132" s="21"/>
      <c r="AAJ132" s="21"/>
      <c r="AAK132" s="21"/>
      <c r="AAL132" s="21"/>
      <c r="AAM132" s="21"/>
      <c r="AAN132" s="21"/>
      <c r="AAO132" s="21"/>
      <c r="AAP132" s="21"/>
      <c r="AAQ132" s="21"/>
      <c r="AAR132" s="21"/>
      <c r="AAS132" s="21"/>
      <c r="AAT132" s="21"/>
      <c r="AAU132" s="21"/>
      <c r="AAV132" s="21"/>
      <c r="AAW132" s="21"/>
      <c r="AAX132" s="21"/>
      <c r="AAY132" s="21"/>
      <c r="AAZ132" s="21"/>
      <c r="ABA132" s="21"/>
      <c r="ABB132" s="21"/>
      <c r="ABC132" s="21"/>
      <c r="ABD132" s="21"/>
      <c r="ABE132" s="21"/>
      <c r="ABF132" s="21"/>
      <c r="ABG132" s="21"/>
      <c r="ABH132" s="21"/>
      <c r="ABI132" s="21"/>
      <c r="ABJ132" s="21"/>
      <c r="ABK132" s="21"/>
      <c r="ABL132" s="21"/>
      <c r="ABM132" s="21"/>
      <c r="ABN132" s="21"/>
      <c r="ABO132" s="21"/>
      <c r="ABP132" s="21"/>
      <c r="ABQ132" s="21"/>
      <c r="ABR132" s="21"/>
      <c r="ABS132" s="21"/>
      <c r="ABT132" s="21"/>
      <c r="ABU132" s="21"/>
      <c r="ABV132" s="21"/>
      <c r="ABW132" s="21"/>
      <c r="ABX132" s="21"/>
      <c r="ABY132" s="21"/>
      <c r="ABZ132" s="21"/>
      <c r="ACA132" s="21"/>
      <c r="ACB132" s="21"/>
      <c r="ACC132" s="21"/>
      <c r="ACD132" s="21"/>
      <c r="ACE132" s="21"/>
      <c r="ACF132" s="21"/>
      <c r="ACG132" s="21"/>
      <c r="ACH132" s="21"/>
      <c r="ACI132" s="21"/>
      <c r="ACJ132" s="21"/>
      <c r="ACK132" s="21"/>
      <c r="ACL132" s="21"/>
      <c r="ACM132" s="21"/>
      <c r="ACN132" s="21"/>
      <c r="ACO132" s="21"/>
      <c r="ACP132" s="21"/>
      <c r="ACQ132" s="21"/>
      <c r="ACR132" s="21"/>
      <c r="ACS132" s="21"/>
      <c r="ACT132" s="21"/>
      <c r="ACU132" s="21"/>
      <c r="ACV132" s="21"/>
      <c r="ACW132" s="21"/>
      <c r="ACX132" s="21"/>
      <c r="ACY132" s="21"/>
      <c r="ACZ132" s="21"/>
      <c r="ADA132" s="21"/>
      <c r="ADB132" s="21"/>
      <c r="ADC132" s="21"/>
      <c r="ADD132" s="21"/>
      <c r="ADE132" s="21"/>
      <c r="ADF132" s="21"/>
      <c r="ADG132" s="21"/>
      <c r="ADH132" s="21"/>
      <c r="ADI132" s="21"/>
      <c r="ADJ132" s="21"/>
      <c r="ADK132" s="21"/>
      <c r="ADL132" s="21"/>
      <c r="ADM132" s="21"/>
      <c r="ADN132" s="21"/>
      <c r="ADO132" s="21"/>
      <c r="ADP132" s="21"/>
      <c r="ADQ132" s="21"/>
      <c r="ADR132" s="21"/>
      <c r="ADS132" s="21"/>
      <c r="ADT132" s="21"/>
      <c r="ADU132" s="21"/>
      <c r="ADV132" s="21"/>
      <c r="ADW132" s="21"/>
      <c r="ADX132" s="21"/>
      <c r="ADY132" s="21"/>
      <c r="ADZ132" s="21"/>
      <c r="AEA132" s="21"/>
      <c r="AEB132" s="21"/>
      <c r="AEC132" s="21"/>
      <c r="AED132" s="21"/>
      <c r="AEE132" s="21"/>
      <c r="AEF132" s="21"/>
      <c r="AEG132" s="21"/>
    </row>
    <row r="133" spans="1:813" s="93" customFormat="1" ht="75" x14ac:dyDescent="0.25">
      <c r="A133" s="91">
        <v>57</v>
      </c>
      <c r="B133" s="81" t="s">
        <v>159</v>
      </c>
      <c r="C133" s="80" t="s">
        <v>158</v>
      </c>
      <c r="D133" s="63" t="s">
        <v>157</v>
      </c>
      <c r="E133" s="40" t="s">
        <v>156</v>
      </c>
      <c r="F133" s="74"/>
      <c r="G133" s="32"/>
      <c r="H133" s="32"/>
      <c r="I133" s="32"/>
      <c r="J133" s="32"/>
      <c r="K133" s="32"/>
      <c r="L133" s="32"/>
      <c r="M133" s="32"/>
      <c r="N133" s="32"/>
      <c r="O133" s="32"/>
      <c r="P133" s="33"/>
      <c r="Q133" s="32"/>
      <c r="R133" s="32"/>
      <c r="S133" s="32"/>
      <c r="T133" s="32"/>
      <c r="U133" s="32"/>
      <c r="V133" s="32"/>
      <c r="W133" s="32"/>
      <c r="X133" s="32"/>
      <c r="Y133" s="32"/>
      <c r="Z133" s="32"/>
      <c r="AA133" s="32"/>
      <c r="AB133" s="32"/>
      <c r="AC133" s="32"/>
      <c r="AD133" s="33"/>
      <c r="AE133" s="32"/>
      <c r="AF133" s="32">
        <f t="shared" si="38"/>
        <v>0</v>
      </c>
      <c r="AG133" s="32"/>
      <c r="AH133" s="32"/>
      <c r="AI133" s="32">
        <v>695</v>
      </c>
      <c r="AJ133" s="31">
        <v>53587.048430850198</v>
      </c>
      <c r="AK133" s="31">
        <v>4365.0276102357793</v>
      </c>
      <c r="AL133" s="31">
        <v>57952.07604108598</v>
      </c>
      <c r="AM133" s="30" t="s">
        <v>18</v>
      </c>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c r="EF133" s="21"/>
      <c r="EG133" s="21"/>
      <c r="EH133" s="21"/>
      <c r="EI133" s="21"/>
      <c r="EJ133" s="21"/>
      <c r="EK133" s="21"/>
      <c r="EL133" s="21"/>
      <c r="EM133" s="21"/>
      <c r="EN133" s="21"/>
      <c r="EO133" s="21"/>
      <c r="EP133" s="21"/>
      <c r="EQ133" s="21"/>
      <c r="ER133" s="21"/>
      <c r="ES133" s="21"/>
      <c r="ET133" s="21"/>
      <c r="EU133" s="21"/>
      <c r="EV133" s="21"/>
      <c r="EW133" s="21"/>
      <c r="EX133" s="21"/>
      <c r="EY133" s="21"/>
      <c r="EZ133" s="21"/>
      <c r="FA133" s="21"/>
      <c r="FB133" s="21"/>
      <c r="FC133" s="21"/>
      <c r="FD133" s="21"/>
      <c r="FE133" s="21"/>
      <c r="FF133" s="21"/>
      <c r="FG133" s="21"/>
      <c r="FH133" s="21"/>
      <c r="FI133" s="21"/>
      <c r="FJ133" s="21"/>
      <c r="FK133" s="21"/>
      <c r="FL133" s="21"/>
      <c r="FM133" s="21"/>
      <c r="FN133" s="21"/>
      <c r="FO133" s="21"/>
      <c r="FP133" s="21"/>
      <c r="FQ133" s="21"/>
      <c r="FR133" s="21"/>
      <c r="FS133" s="21"/>
      <c r="FT133" s="21"/>
      <c r="FU133" s="21"/>
      <c r="FV133" s="21"/>
      <c r="FW133" s="21"/>
      <c r="FX133" s="21"/>
      <c r="FY133" s="21"/>
      <c r="FZ133" s="21"/>
      <c r="GA133" s="21"/>
      <c r="GB133" s="21"/>
      <c r="GC133" s="21"/>
      <c r="GD133" s="21"/>
      <c r="GE133" s="21"/>
      <c r="GF133" s="21"/>
      <c r="GG133" s="21"/>
      <c r="GH133" s="21"/>
      <c r="GI133" s="21"/>
      <c r="GJ133" s="21"/>
      <c r="GK133" s="21"/>
      <c r="GL133" s="21"/>
      <c r="GM133" s="21"/>
      <c r="GN133" s="21"/>
      <c r="GO133" s="21"/>
      <c r="GP133" s="21"/>
      <c r="GQ133" s="21"/>
      <c r="GR133" s="21"/>
      <c r="GS133" s="21"/>
      <c r="GT133" s="21"/>
      <c r="GU133" s="21"/>
      <c r="GV133" s="21"/>
      <c r="GW133" s="21"/>
      <c r="GX133" s="21"/>
      <c r="GY133" s="21"/>
      <c r="GZ133" s="21"/>
      <c r="HA133" s="21"/>
      <c r="HB133" s="21"/>
      <c r="HC133" s="21"/>
      <c r="HD133" s="21"/>
      <c r="HE133" s="21"/>
      <c r="HF133" s="21"/>
      <c r="HG133" s="21"/>
      <c r="HH133" s="21"/>
      <c r="HI133" s="21"/>
      <c r="HJ133" s="21"/>
      <c r="HK133" s="21"/>
      <c r="HL133" s="21"/>
      <c r="HM133" s="21"/>
      <c r="HN133" s="21"/>
      <c r="HO133" s="21"/>
      <c r="HP133" s="21"/>
      <c r="HQ133" s="21"/>
      <c r="HR133" s="21"/>
      <c r="HS133" s="21"/>
      <c r="HT133" s="21"/>
      <c r="HU133" s="21"/>
      <c r="HV133" s="21"/>
      <c r="HW133" s="21"/>
      <c r="HX133" s="21"/>
      <c r="HY133" s="21"/>
      <c r="HZ133" s="21"/>
      <c r="IA133" s="21"/>
      <c r="IB133" s="21"/>
      <c r="IC133" s="21"/>
      <c r="ID133" s="21"/>
      <c r="IE133" s="21"/>
      <c r="IF133" s="21"/>
      <c r="IG133" s="21"/>
      <c r="IH133" s="21"/>
      <c r="II133" s="21"/>
      <c r="IJ133" s="21"/>
      <c r="IK133" s="21"/>
      <c r="IL133" s="21"/>
      <c r="IM133" s="21"/>
      <c r="IN133" s="21"/>
      <c r="IO133" s="21"/>
      <c r="IP133" s="21"/>
      <c r="IQ133" s="21"/>
      <c r="IR133" s="21"/>
      <c r="IS133" s="21"/>
      <c r="IT133" s="21"/>
      <c r="IU133" s="21"/>
      <c r="IV133" s="21"/>
      <c r="IW133" s="21"/>
      <c r="IX133" s="21"/>
      <c r="IY133" s="21"/>
      <c r="IZ133" s="21"/>
      <c r="JA133" s="21"/>
      <c r="JB133" s="21"/>
      <c r="JC133" s="21"/>
      <c r="JD133" s="21"/>
      <c r="JE133" s="21"/>
      <c r="JF133" s="21"/>
      <c r="JG133" s="21"/>
      <c r="JH133" s="21"/>
      <c r="JI133" s="21"/>
      <c r="JJ133" s="21"/>
      <c r="JK133" s="21"/>
      <c r="JL133" s="21"/>
      <c r="JM133" s="21"/>
      <c r="JN133" s="21"/>
      <c r="JO133" s="21"/>
      <c r="JP133" s="21"/>
      <c r="JQ133" s="21"/>
      <c r="JR133" s="21"/>
      <c r="JS133" s="21"/>
      <c r="JT133" s="21"/>
      <c r="JU133" s="21"/>
      <c r="JV133" s="21"/>
      <c r="JW133" s="21"/>
      <c r="JX133" s="21"/>
      <c r="JY133" s="21"/>
      <c r="JZ133" s="21"/>
      <c r="KA133" s="21"/>
      <c r="KB133" s="21"/>
      <c r="KC133" s="21"/>
      <c r="KD133" s="21"/>
      <c r="KE133" s="21"/>
      <c r="KF133" s="21"/>
      <c r="KG133" s="21"/>
      <c r="KH133" s="21"/>
      <c r="KI133" s="21"/>
      <c r="KJ133" s="21"/>
      <c r="KK133" s="21"/>
      <c r="KL133" s="21"/>
      <c r="KM133" s="21"/>
      <c r="KN133" s="21"/>
      <c r="KO133" s="21"/>
      <c r="KP133" s="21"/>
      <c r="KQ133" s="21"/>
      <c r="KR133" s="21"/>
      <c r="KS133" s="21"/>
      <c r="KT133" s="21"/>
      <c r="KU133" s="21"/>
      <c r="KV133" s="21"/>
      <c r="KW133" s="21"/>
      <c r="KX133" s="21"/>
      <c r="KY133" s="21"/>
      <c r="KZ133" s="21"/>
      <c r="LA133" s="21"/>
      <c r="LB133" s="21"/>
      <c r="LC133" s="21"/>
      <c r="LD133" s="21"/>
      <c r="LE133" s="21"/>
      <c r="LF133" s="21"/>
      <c r="LG133" s="21"/>
      <c r="LH133" s="21"/>
      <c r="LI133" s="21"/>
      <c r="LJ133" s="21"/>
      <c r="LK133" s="21"/>
      <c r="LL133" s="21"/>
      <c r="LM133" s="21"/>
      <c r="LN133" s="21"/>
      <c r="LO133" s="21"/>
      <c r="LP133" s="21"/>
      <c r="LQ133" s="21"/>
      <c r="LR133" s="21"/>
      <c r="LS133" s="21"/>
      <c r="LT133" s="21"/>
      <c r="LU133" s="21"/>
      <c r="LV133" s="21"/>
      <c r="LW133" s="21"/>
      <c r="LX133" s="21"/>
      <c r="LY133" s="21"/>
      <c r="LZ133" s="21"/>
      <c r="MA133" s="21"/>
      <c r="MB133" s="21"/>
      <c r="MC133" s="21"/>
      <c r="MD133" s="21"/>
      <c r="ME133" s="21"/>
      <c r="MF133" s="21"/>
      <c r="MG133" s="21"/>
      <c r="MH133" s="21"/>
      <c r="MI133" s="21"/>
      <c r="MJ133" s="21"/>
      <c r="MK133" s="21"/>
      <c r="ML133" s="21"/>
      <c r="MM133" s="21"/>
      <c r="MN133" s="21"/>
      <c r="MO133" s="21"/>
      <c r="MP133" s="21"/>
      <c r="MQ133" s="21"/>
      <c r="MR133" s="21"/>
      <c r="MS133" s="21"/>
      <c r="MT133" s="21"/>
      <c r="MU133" s="21"/>
      <c r="MV133" s="21"/>
      <c r="MW133" s="21"/>
      <c r="MX133" s="21"/>
      <c r="MY133" s="21"/>
      <c r="MZ133" s="21"/>
      <c r="NA133" s="21"/>
      <c r="NB133" s="21"/>
      <c r="NC133" s="21"/>
      <c r="ND133" s="21"/>
      <c r="NE133" s="21"/>
      <c r="NF133" s="21"/>
      <c r="NG133" s="21"/>
      <c r="NH133" s="21"/>
      <c r="NI133" s="21"/>
      <c r="NJ133" s="21"/>
      <c r="NK133" s="21"/>
      <c r="NL133" s="21"/>
      <c r="NM133" s="21"/>
      <c r="NN133" s="21"/>
      <c r="NO133" s="21"/>
      <c r="NP133" s="21"/>
      <c r="NQ133" s="21"/>
      <c r="NR133" s="21"/>
      <c r="NS133" s="21"/>
      <c r="NT133" s="21"/>
      <c r="NU133" s="21"/>
      <c r="NV133" s="21"/>
      <c r="NW133" s="21"/>
      <c r="NX133" s="21"/>
      <c r="NY133" s="21"/>
      <c r="NZ133" s="21"/>
      <c r="OA133" s="21"/>
      <c r="OB133" s="21"/>
      <c r="OC133" s="21"/>
      <c r="OD133" s="21"/>
      <c r="OE133" s="21"/>
      <c r="OF133" s="21"/>
      <c r="OG133" s="21"/>
      <c r="OH133" s="21"/>
      <c r="OI133" s="21"/>
      <c r="OJ133" s="21"/>
      <c r="OK133" s="21"/>
      <c r="OL133" s="21"/>
      <c r="OM133" s="21"/>
      <c r="ON133" s="21"/>
      <c r="OO133" s="21"/>
      <c r="OP133" s="21"/>
      <c r="OQ133" s="21"/>
      <c r="OR133" s="21"/>
      <c r="OS133" s="21"/>
      <c r="OT133" s="21"/>
      <c r="OU133" s="21"/>
      <c r="OV133" s="21"/>
      <c r="OW133" s="21"/>
      <c r="OX133" s="21"/>
      <c r="OY133" s="21"/>
      <c r="OZ133" s="21"/>
      <c r="PA133" s="21"/>
      <c r="PB133" s="21"/>
      <c r="PC133" s="21"/>
      <c r="PD133" s="21"/>
      <c r="PE133" s="21"/>
      <c r="PF133" s="21"/>
      <c r="PG133" s="21"/>
      <c r="PH133" s="21"/>
      <c r="PI133" s="21"/>
      <c r="PJ133" s="21"/>
      <c r="PK133" s="21"/>
      <c r="PL133" s="21"/>
      <c r="PM133" s="21"/>
      <c r="PN133" s="21"/>
      <c r="PO133" s="21"/>
      <c r="PP133" s="21"/>
      <c r="PQ133" s="21"/>
      <c r="PR133" s="21"/>
      <c r="PS133" s="21"/>
      <c r="PT133" s="21"/>
      <c r="PU133" s="21"/>
      <c r="PV133" s="21"/>
      <c r="PW133" s="21"/>
      <c r="PX133" s="21"/>
      <c r="PY133" s="21"/>
      <c r="PZ133" s="21"/>
      <c r="QA133" s="21"/>
      <c r="QB133" s="21"/>
      <c r="QC133" s="21"/>
      <c r="QD133" s="21"/>
      <c r="QE133" s="21"/>
      <c r="QF133" s="21"/>
      <c r="QG133" s="21"/>
      <c r="QH133" s="21"/>
      <c r="QI133" s="21"/>
      <c r="QJ133" s="21"/>
      <c r="QK133" s="21"/>
      <c r="QL133" s="21"/>
      <c r="QM133" s="21"/>
      <c r="QN133" s="21"/>
      <c r="QO133" s="21"/>
      <c r="QP133" s="21"/>
      <c r="QQ133" s="21"/>
      <c r="QR133" s="21"/>
      <c r="QS133" s="21"/>
      <c r="QT133" s="21"/>
      <c r="QU133" s="21"/>
      <c r="QV133" s="21"/>
      <c r="QW133" s="21"/>
      <c r="QX133" s="21"/>
      <c r="QY133" s="21"/>
      <c r="QZ133" s="21"/>
      <c r="RA133" s="21"/>
      <c r="RB133" s="21"/>
      <c r="RC133" s="21"/>
      <c r="RD133" s="21"/>
      <c r="RE133" s="21"/>
      <c r="RF133" s="21"/>
      <c r="RG133" s="21"/>
      <c r="RH133" s="21"/>
      <c r="RI133" s="21"/>
      <c r="RJ133" s="21"/>
      <c r="RK133" s="21"/>
      <c r="RL133" s="21"/>
      <c r="RM133" s="21"/>
      <c r="RN133" s="21"/>
      <c r="RO133" s="21"/>
      <c r="RP133" s="21"/>
      <c r="RQ133" s="21"/>
      <c r="RR133" s="21"/>
      <c r="RS133" s="21"/>
      <c r="RT133" s="21"/>
      <c r="RU133" s="21"/>
      <c r="RV133" s="21"/>
      <c r="RW133" s="21"/>
      <c r="RX133" s="21"/>
      <c r="RY133" s="21"/>
      <c r="RZ133" s="21"/>
      <c r="SA133" s="21"/>
      <c r="SB133" s="21"/>
      <c r="SC133" s="21"/>
      <c r="SD133" s="21"/>
      <c r="SE133" s="21"/>
      <c r="SF133" s="21"/>
      <c r="SG133" s="21"/>
      <c r="SH133" s="21"/>
      <c r="SI133" s="21"/>
      <c r="SJ133" s="21"/>
      <c r="SK133" s="21"/>
      <c r="SL133" s="21"/>
      <c r="SM133" s="21"/>
      <c r="SN133" s="21"/>
      <c r="SO133" s="21"/>
      <c r="SP133" s="21"/>
      <c r="SQ133" s="21"/>
      <c r="SR133" s="21"/>
      <c r="SS133" s="21"/>
      <c r="ST133" s="21"/>
      <c r="SU133" s="21"/>
      <c r="SV133" s="21"/>
      <c r="SW133" s="21"/>
      <c r="SX133" s="21"/>
      <c r="SY133" s="21"/>
      <c r="SZ133" s="21"/>
      <c r="TA133" s="21"/>
      <c r="TB133" s="21"/>
      <c r="TC133" s="21"/>
      <c r="TD133" s="21"/>
      <c r="TE133" s="21"/>
      <c r="TF133" s="21"/>
      <c r="TG133" s="21"/>
      <c r="TH133" s="21"/>
      <c r="TI133" s="21"/>
      <c r="TJ133" s="21"/>
      <c r="TK133" s="21"/>
      <c r="TL133" s="21"/>
      <c r="TM133" s="21"/>
      <c r="TN133" s="21"/>
      <c r="TO133" s="21"/>
      <c r="TP133" s="21"/>
      <c r="TQ133" s="21"/>
      <c r="TR133" s="21"/>
      <c r="TS133" s="21"/>
      <c r="TT133" s="21"/>
      <c r="TU133" s="21"/>
      <c r="TV133" s="21"/>
      <c r="TW133" s="21"/>
      <c r="TX133" s="21"/>
      <c r="TY133" s="21"/>
      <c r="TZ133" s="21"/>
      <c r="UA133" s="21"/>
      <c r="UB133" s="21"/>
      <c r="UC133" s="21"/>
      <c r="UD133" s="21"/>
      <c r="UE133" s="21"/>
      <c r="UF133" s="21"/>
      <c r="UG133" s="21"/>
      <c r="UH133" s="21"/>
      <c r="UI133" s="21"/>
      <c r="UJ133" s="21"/>
      <c r="UK133" s="21"/>
      <c r="UL133" s="21"/>
      <c r="UM133" s="21"/>
      <c r="UN133" s="21"/>
      <c r="UO133" s="21"/>
      <c r="UP133" s="21"/>
      <c r="UQ133" s="21"/>
      <c r="UR133" s="21"/>
      <c r="US133" s="21"/>
      <c r="UT133" s="21"/>
      <c r="UU133" s="21"/>
      <c r="UV133" s="21"/>
      <c r="UW133" s="21"/>
      <c r="UX133" s="21"/>
      <c r="UY133" s="21"/>
      <c r="UZ133" s="21"/>
      <c r="VA133" s="21"/>
      <c r="VB133" s="21"/>
      <c r="VC133" s="21"/>
      <c r="VD133" s="21"/>
      <c r="VE133" s="21"/>
      <c r="VF133" s="21"/>
      <c r="VG133" s="21"/>
      <c r="VH133" s="21"/>
      <c r="VI133" s="21"/>
      <c r="VJ133" s="21"/>
      <c r="VK133" s="21"/>
      <c r="VL133" s="21"/>
      <c r="VM133" s="21"/>
      <c r="VN133" s="21"/>
      <c r="VO133" s="21"/>
      <c r="VP133" s="21"/>
      <c r="VQ133" s="21"/>
      <c r="VR133" s="21"/>
      <c r="VS133" s="21"/>
      <c r="VT133" s="21"/>
      <c r="VU133" s="21"/>
      <c r="VV133" s="21"/>
      <c r="VW133" s="21"/>
      <c r="VX133" s="21"/>
      <c r="VY133" s="21"/>
      <c r="VZ133" s="21"/>
      <c r="WA133" s="21"/>
      <c r="WB133" s="21"/>
      <c r="WC133" s="21"/>
      <c r="WD133" s="21"/>
      <c r="WE133" s="21"/>
      <c r="WF133" s="21"/>
      <c r="WG133" s="21"/>
      <c r="WH133" s="21"/>
      <c r="WI133" s="21"/>
      <c r="WJ133" s="21"/>
      <c r="WK133" s="21"/>
      <c r="WL133" s="21"/>
      <c r="WM133" s="21"/>
      <c r="WN133" s="21"/>
      <c r="WO133" s="21"/>
      <c r="WP133" s="21"/>
      <c r="WQ133" s="21"/>
      <c r="WR133" s="21"/>
      <c r="WS133" s="21"/>
      <c r="WT133" s="21"/>
      <c r="WU133" s="21"/>
      <c r="WV133" s="21"/>
      <c r="WW133" s="21"/>
      <c r="WX133" s="21"/>
      <c r="WY133" s="21"/>
      <c r="WZ133" s="21"/>
      <c r="XA133" s="21"/>
      <c r="XB133" s="21"/>
      <c r="XC133" s="21"/>
      <c r="XD133" s="21"/>
      <c r="XE133" s="21"/>
      <c r="XF133" s="21"/>
      <c r="XG133" s="21"/>
      <c r="XH133" s="21"/>
      <c r="XI133" s="21"/>
      <c r="XJ133" s="21"/>
      <c r="XK133" s="21"/>
      <c r="XL133" s="21"/>
      <c r="XM133" s="21"/>
      <c r="XN133" s="21"/>
      <c r="XO133" s="21"/>
      <c r="XP133" s="21"/>
      <c r="XQ133" s="21"/>
      <c r="XR133" s="21"/>
      <c r="XS133" s="21"/>
      <c r="XT133" s="21"/>
      <c r="XU133" s="21"/>
      <c r="XV133" s="21"/>
      <c r="XW133" s="21"/>
      <c r="XX133" s="21"/>
      <c r="XY133" s="21"/>
      <c r="XZ133" s="21"/>
      <c r="YA133" s="21"/>
      <c r="YB133" s="21"/>
      <c r="YC133" s="21"/>
      <c r="YD133" s="21"/>
      <c r="YE133" s="21"/>
      <c r="YF133" s="21"/>
      <c r="YG133" s="21"/>
      <c r="YH133" s="21"/>
      <c r="YI133" s="21"/>
      <c r="YJ133" s="21"/>
      <c r="YK133" s="21"/>
      <c r="YL133" s="21"/>
      <c r="YM133" s="21"/>
      <c r="YN133" s="21"/>
      <c r="YO133" s="21"/>
      <c r="YP133" s="21"/>
      <c r="YQ133" s="21"/>
      <c r="YR133" s="21"/>
      <c r="YS133" s="21"/>
      <c r="YT133" s="21"/>
      <c r="YU133" s="21"/>
      <c r="YV133" s="21"/>
      <c r="YW133" s="21"/>
      <c r="YX133" s="21"/>
      <c r="YY133" s="21"/>
      <c r="YZ133" s="21"/>
      <c r="ZA133" s="21"/>
      <c r="ZB133" s="21"/>
      <c r="ZC133" s="21"/>
      <c r="ZD133" s="21"/>
      <c r="ZE133" s="21"/>
      <c r="ZF133" s="21"/>
      <c r="ZG133" s="21"/>
      <c r="ZH133" s="21"/>
      <c r="ZI133" s="21"/>
      <c r="ZJ133" s="21"/>
      <c r="ZK133" s="21"/>
      <c r="ZL133" s="21"/>
      <c r="ZM133" s="21"/>
      <c r="ZN133" s="21"/>
      <c r="ZO133" s="21"/>
      <c r="ZP133" s="21"/>
      <c r="ZQ133" s="21"/>
      <c r="ZR133" s="21"/>
      <c r="ZS133" s="21"/>
      <c r="ZT133" s="21"/>
      <c r="ZU133" s="21"/>
      <c r="ZV133" s="21"/>
      <c r="ZW133" s="21"/>
      <c r="ZX133" s="21"/>
      <c r="ZY133" s="21"/>
      <c r="ZZ133" s="21"/>
      <c r="AAA133" s="21"/>
      <c r="AAB133" s="21"/>
      <c r="AAC133" s="21"/>
      <c r="AAD133" s="21"/>
      <c r="AAE133" s="21"/>
      <c r="AAF133" s="21"/>
      <c r="AAG133" s="21"/>
      <c r="AAH133" s="21"/>
      <c r="AAI133" s="21"/>
      <c r="AAJ133" s="21"/>
      <c r="AAK133" s="21"/>
      <c r="AAL133" s="21"/>
      <c r="AAM133" s="21"/>
      <c r="AAN133" s="21"/>
      <c r="AAO133" s="21"/>
      <c r="AAP133" s="21"/>
      <c r="AAQ133" s="21"/>
      <c r="AAR133" s="21"/>
      <c r="AAS133" s="21"/>
      <c r="AAT133" s="21"/>
      <c r="AAU133" s="21"/>
      <c r="AAV133" s="21"/>
      <c r="AAW133" s="21"/>
      <c r="AAX133" s="21"/>
      <c r="AAY133" s="21"/>
      <c r="AAZ133" s="21"/>
      <c r="ABA133" s="21"/>
      <c r="ABB133" s="21"/>
      <c r="ABC133" s="21"/>
      <c r="ABD133" s="21"/>
      <c r="ABE133" s="21"/>
      <c r="ABF133" s="21"/>
      <c r="ABG133" s="21"/>
      <c r="ABH133" s="21"/>
      <c r="ABI133" s="21"/>
      <c r="ABJ133" s="21"/>
      <c r="ABK133" s="21"/>
      <c r="ABL133" s="21"/>
      <c r="ABM133" s="21"/>
      <c r="ABN133" s="21"/>
      <c r="ABO133" s="21"/>
      <c r="ABP133" s="21"/>
      <c r="ABQ133" s="21"/>
      <c r="ABR133" s="21"/>
      <c r="ABS133" s="21"/>
      <c r="ABT133" s="21"/>
      <c r="ABU133" s="21"/>
      <c r="ABV133" s="21"/>
      <c r="ABW133" s="21"/>
      <c r="ABX133" s="21"/>
      <c r="ABY133" s="21"/>
      <c r="ABZ133" s="21"/>
      <c r="ACA133" s="21"/>
      <c r="ACB133" s="21"/>
      <c r="ACC133" s="21"/>
      <c r="ACD133" s="21"/>
      <c r="ACE133" s="21"/>
      <c r="ACF133" s="21"/>
      <c r="ACG133" s="21"/>
      <c r="ACH133" s="21"/>
      <c r="ACI133" s="21"/>
      <c r="ACJ133" s="21"/>
      <c r="ACK133" s="21"/>
      <c r="ACL133" s="21"/>
      <c r="ACM133" s="21"/>
      <c r="ACN133" s="21"/>
      <c r="ACO133" s="21"/>
      <c r="ACP133" s="21"/>
      <c r="ACQ133" s="21"/>
      <c r="ACR133" s="21"/>
      <c r="ACS133" s="21"/>
      <c r="ACT133" s="21"/>
      <c r="ACU133" s="21"/>
      <c r="ACV133" s="21"/>
      <c r="ACW133" s="21"/>
      <c r="ACX133" s="21"/>
      <c r="ACY133" s="21"/>
      <c r="ACZ133" s="21"/>
      <c r="ADA133" s="21"/>
      <c r="ADB133" s="21"/>
      <c r="ADC133" s="21"/>
      <c r="ADD133" s="21"/>
      <c r="ADE133" s="21"/>
      <c r="ADF133" s="21"/>
      <c r="ADG133" s="21"/>
      <c r="ADH133" s="21"/>
      <c r="ADI133" s="21"/>
      <c r="ADJ133" s="21"/>
      <c r="ADK133" s="21"/>
      <c r="ADL133" s="21"/>
      <c r="ADM133" s="21"/>
      <c r="ADN133" s="21"/>
      <c r="ADO133" s="21"/>
      <c r="ADP133" s="21"/>
      <c r="ADQ133" s="21"/>
      <c r="ADR133" s="21"/>
      <c r="ADS133" s="21"/>
      <c r="ADT133" s="21"/>
      <c r="ADU133" s="21"/>
      <c r="ADV133" s="21"/>
      <c r="ADW133" s="21"/>
      <c r="ADX133" s="21"/>
      <c r="ADY133" s="21"/>
      <c r="ADZ133" s="21"/>
      <c r="AEA133" s="21"/>
      <c r="AEB133" s="21"/>
      <c r="AEC133" s="21"/>
      <c r="AED133" s="21"/>
      <c r="AEE133" s="21"/>
      <c r="AEF133" s="21"/>
      <c r="AEG133" s="21"/>
    </row>
    <row r="134" spans="1:813" s="21" customFormat="1" ht="75" x14ac:dyDescent="0.25">
      <c r="A134" s="179">
        <v>58</v>
      </c>
      <c r="B134" s="183" t="s">
        <v>154</v>
      </c>
      <c r="C134" s="80" t="s">
        <v>155</v>
      </c>
      <c r="D134" s="63" t="s">
        <v>154</v>
      </c>
      <c r="E134" s="40" t="s">
        <v>153</v>
      </c>
      <c r="F134" s="74"/>
      <c r="G134" s="32"/>
      <c r="H134" s="32"/>
      <c r="I134" s="32"/>
      <c r="J134" s="32"/>
      <c r="K134" s="32"/>
      <c r="L134" s="32"/>
      <c r="M134" s="32"/>
      <c r="N134" s="32"/>
      <c r="O134" s="32"/>
      <c r="P134" s="33"/>
      <c r="Q134" s="32"/>
      <c r="R134" s="32"/>
      <c r="S134" s="32"/>
      <c r="T134" s="32"/>
      <c r="U134" s="32"/>
      <c r="V134" s="32"/>
      <c r="W134" s="32"/>
      <c r="X134" s="32"/>
      <c r="Y134" s="32"/>
      <c r="Z134" s="32"/>
      <c r="AA134" s="32"/>
      <c r="AB134" s="32"/>
      <c r="AC134" s="32"/>
      <c r="AD134" s="33"/>
      <c r="AE134" s="32"/>
      <c r="AF134" s="32">
        <f t="shared" si="38"/>
        <v>0</v>
      </c>
      <c r="AG134" s="32"/>
      <c r="AH134" s="32"/>
      <c r="AI134" s="32">
        <v>1860</v>
      </c>
      <c r="AJ134" s="31">
        <v>143412.8202609804</v>
      </c>
      <c r="AK134" s="31">
        <v>11681.944395738919</v>
      </c>
      <c r="AL134" s="31">
        <v>155094.76465671932</v>
      </c>
      <c r="AM134" s="30" t="s">
        <v>18</v>
      </c>
    </row>
    <row r="135" spans="1:813" s="21" customFormat="1" ht="135" x14ac:dyDescent="0.25">
      <c r="A135" s="179"/>
      <c r="B135" s="183"/>
      <c r="C135" s="80" t="s">
        <v>152</v>
      </c>
      <c r="D135" s="63" t="s">
        <v>151</v>
      </c>
      <c r="E135" s="40" t="s">
        <v>150</v>
      </c>
      <c r="F135" s="74"/>
      <c r="G135" s="32"/>
      <c r="H135" s="32"/>
      <c r="I135" s="32"/>
      <c r="J135" s="32"/>
      <c r="K135" s="32"/>
      <c r="L135" s="32"/>
      <c r="M135" s="32"/>
      <c r="N135" s="32"/>
      <c r="O135" s="32"/>
      <c r="P135" s="33"/>
      <c r="Q135" s="32"/>
      <c r="R135" s="32"/>
      <c r="S135" s="32"/>
      <c r="T135" s="32"/>
      <c r="U135" s="32"/>
      <c r="V135" s="32"/>
      <c r="W135" s="32"/>
      <c r="X135" s="32"/>
      <c r="Y135" s="32"/>
      <c r="Z135" s="32"/>
      <c r="AA135" s="32"/>
      <c r="AB135" s="32"/>
      <c r="AC135" s="32"/>
      <c r="AD135" s="33"/>
      <c r="AE135" s="32"/>
      <c r="AF135" s="32">
        <f t="shared" si="38"/>
        <v>0</v>
      </c>
      <c r="AG135" s="32"/>
      <c r="AH135" s="32"/>
      <c r="AI135" s="32">
        <v>540</v>
      </c>
      <c r="AJ135" s="31">
        <v>41635.980075768501</v>
      </c>
      <c r="AK135" s="31">
        <v>3391.5322439242027</v>
      </c>
      <c r="AL135" s="31">
        <v>45027.512319692702</v>
      </c>
      <c r="AM135" s="30" t="s">
        <v>18</v>
      </c>
    </row>
    <row r="136" spans="1:813" s="21" customFormat="1" ht="60" x14ac:dyDescent="0.25">
      <c r="A136" s="182">
        <v>59</v>
      </c>
      <c r="B136" s="208" t="s">
        <v>149</v>
      </c>
      <c r="C136" s="34" t="s">
        <v>148</v>
      </c>
      <c r="D136" s="74" t="s">
        <v>147</v>
      </c>
      <c r="E136" s="40" t="s">
        <v>146</v>
      </c>
      <c r="F136" s="74"/>
      <c r="G136" s="32"/>
      <c r="H136" s="32"/>
      <c r="I136" s="32"/>
      <c r="J136" s="32"/>
      <c r="K136" s="32"/>
      <c r="L136" s="32"/>
      <c r="M136" s="32"/>
      <c r="N136" s="32"/>
      <c r="O136" s="32"/>
      <c r="P136" s="33">
        <v>10</v>
      </c>
      <c r="Q136" s="32"/>
      <c r="R136" s="32"/>
      <c r="S136" s="32"/>
      <c r="T136" s="32"/>
      <c r="U136" s="32"/>
      <c r="V136" s="32"/>
      <c r="W136" s="32"/>
      <c r="X136" s="32"/>
      <c r="Y136" s="32"/>
      <c r="Z136" s="32"/>
      <c r="AA136" s="32"/>
      <c r="AB136" s="32"/>
      <c r="AC136" s="32"/>
      <c r="AD136" s="33"/>
      <c r="AE136" s="32"/>
      <c r="AF136" s="32">
        <f t="shared" si="38"/>
        <v>10</v>
      </c>
      <c r="AG136" s="32"/>
      <c r="AH136" s="32"/>
      <c r="AI136" s="32">
        <v>60</v>
      </c>
      <c r="AJ136" s="31">
        <v>5247.360683980417</v>
      </c>
      <c r="AK136" s="31">
        <v>427.43302602301617</v>
      </c>
      <c r="AL136" s="31">
        <v>5674.7937100034333</v>
      </c>
      <c r="AM136" s="30" t="s">
        <v>18</v>
      </c>
    </row>
    <row r="137" spans="1:813" s="21" customFormat="1" ht="60" x14ac:dyDescent="0.25">
      <c r="A137" s="233"/>
      <c r="B137" s="234"/>
      <c r="C137" s="34" t="s">
        <v>145</v>
      </c>
      <c r="D137" s="74" t="s">
        <v>144</v>
      </c>
      <c r="E137" s="40" t="s">
        <v>143</v>
      </c>
      <c r="F137" s="74"/>
      <c r="G137" s="32"/>
      <c r="H137" s="32"/>
      <c r="I137" s="32"/>
      <c r="J137" s="32"/>
      <c r="K137" s="32"/>
      <c r="L137" s="32"/>
      <c r="M137" s="32"/>
      <c r="N137" s="32"/>
      <c r="O137" s="32"/>
      <c r="P137" s="33"/>
      <c r="Q137" s="32"/>
      <c r="R137" s="32"/>
      <c r="S137" s="32"/>
      <c r="T137" s="32"/>
      <c r="U137" s="32"/>
      <c r="V137" s="32"/>
      <c r="W137" s="32"/>
      <c r="X137" s="32"/>
      <c r="Y137" s="32"/>
      <c r="Z137" s="32"/>
      <c r="AA137" s="32"/>
      <c r="AB137" s="32"/>
      <c r="AC137" s="32"/>
      <c r="AD137" s="33"/>
      <c r="AE137" s="32"/>
      <c r="AF137" s="32">
        <f t="shared" si="38"/>
        <v>0</v>
      </c>
      <c r="AG137" s="32"/>
      <c r="AH137" s="32"/>
      <c r="AI137" s="32">
        <v>75</v>
      </c>
      <c r="AJ137" s="31">
        <v>5782.7750105234036</v>
      </c>
      <c r="AK137" s="31">
        <v>471.04614498947262</v>
      </c>
      <c r="AL137" s="31">
        <v>6253.8211555128764</v>
      </c>
      <c r="AM137" s="30" t="s">
        <v>18</v>
      </c>
    </row>
    <row r="138" spans="1:813" s="21" customFormat="1" ht="30" x14ac:dyDescent="0.25">
      <c r="A138" s="92" t="s">
        <v>142</v>
      </c>
      <c r="B138" s="74" t="s">
        <v>140</v>
      </c>
      <c r="C138" s="34" t="s">
        <v>141</v>
      </c>
      <c r="D138" s="74" t="s">
        <v>140</v>
      </c>
      <c r="E138" s="40" t="s">
        <v>139</v>
      </c>
      <c r="F138" s="74"/>
      <c r="G138" s="32"/>
      <c r="H138" s="32"/>
      <c r="I138" s="32"/>
      <c r="J138" s="32"/>
      <c r="K138" s="32"/>
      <c r="L138" s="32"/>
      <c r="M138" s="32"/>
      <c r="N138" s="32"/>
      <c r="O138" s="32"/>
      <c r="P138" s="33"/>
      <c r="Q138" s="32"/>
      <c r="R138" s="32"/>
      <c r="S138" s="32"/>
      <c r="T138" s="32"/>
      <c r="U138" s="32"/>
      <c r="V138" s="32"/>
      <c r="W138" s="32"/>
      <c r="X138" s="32"/>
      <c r="Y138" s="32"/>
      <c r="Z138" s="32"/>
      <c r="AA138" s="32"/>
      <c r="AB138" s="32"/>
      <c r="AC138" s="32"/>
      <c r="AD138" s="33"/>
      <c r="AE138" s="32"/>
      <c r="AF138" s="32">
        <f t="shared" si="38"/>
        <v>0</v>
      </c>
      <c r="AG138" s="32"/>
      <c r="AH138" s="32"/>
      <c r="AI138" s="32">
        <v>795</v>
      </c>
      <c r="AJ138" s="31">
        <v>61297.415111548071</v>
      </c>
      <c r="AK138" s="31">
        <v>4993.0891368884095</v>
      </c>
      <c r="AL138" s="31">
        <v>66290.504248436482</v>
      </c>
      <c r="AM138" s="30" t="s">
        <v>18</v>
      </c>
    </row>
    <row r="139" spans="1:813" s="21" customFormat="1" ht="135" x14ac:dyDescent="0.25">
      <c r="A139" s="91">
        <v>60</v>
      </c>
      <c r="B139" s="81" t="s">
        <v>138</v>
      </c>
      <c r="C139" s="80" t="s">
        <v>137</v>
      </c>
      <c r="D139" s="63" t="s">
        <v>136</v>
      </c>
      <c r="E139" s="40" t="s">
        <v>135</v>
      </c>
      <c r="F139" s="74"/>
      <c r="G139" s="32"/>
      <c r="H139" s="32"/>
      <c r="I139" s="32"/>
      <c r="J139" s="32"/>
      <c r="K139" s="32"/>
      <c r="L139" s="32"/>
      <c r="M139" s="32"/>
      <c r="N139" s="32"/>
      <c r="O139" s="32"/>
      <c r="P139" s="33"/>
      <c r="Q139" s="32"/>
      <c r="R139" s="32"/>
      <c r="S139" s="32"/>
      <c r="T139" s="32"/>
      <c r="U139" s="32"/>
      <c r="V139" s="32">
        <v>190</v>
      </c>
      <c r="W139" s="32"/>
      <c r="X139" s="32">
        <v>60</v>
      </c>
      <c r="Y139" s="32"/>
      <c r="Z139" s="32"/>
      <c r="AA139" s="32"/>
      <c r="AB139" s="32"/>
      <c r="AC139" s="32"/>
      <c r="AD139" s="33"/>
      <c r="AE139" s="32">
        <v>7032</v>
      </c>
      <c r="AF139" s="32">
        <f t="shared" si="38"/>
        <v>7282</v>
      </c>
      <c r="AG139" s="32"/>
      <c r="AH139" s="32"/>
      <c r="AI139" s="32">
        <v>1415</v>
      </c>
      <c r="AJ139" s="31">
        <v>355807.76570451586</v>
      </c>
      <c r="AK139" s="31">
        <v>28982.949550592999</v>
      </c>
      <c r="AL139" s="31">
        <v>384790.71525510884</v>
      </c>
      <c r="AM139" s="30" t="s">
        <v>134</v>
      </c>
    </row>
    <row r="140" spans="1:813" s="21" customFormat="1" ht="60" x14ac:dyDescent="0.25">
      <c r="A140" s="91">
        <v>61</v>
      </c>
      <c r="B140" s="63" t="s">
        <v>132</v>
      </c>
      <c r="C140" s="80" t="s">
        <v>133</v>
      </c>
      <c r="D140" s="63" t="s">
        <v>132</v>
      </c>
      <c r="E140" s="40" t="s">
        <v>131</v>
      </c>
      <c r="F140" s="74"/>
      <c r="G140" s="32"/>
      <c r="H140" s="32"/>
      <c r="I140" s="32"/>
      <c r="J140" s="32"/>
      <c r="K140" s="32"/>
      <c r="L140" s="32"/>
      <c r="M140" s="32"/>
      <c r="N140" s="32"/>
      <c r="O140" s="32"/>
      <c r="P140" s="33"/>
      <c r="Q140" s="32"/>
      <c r="R140" s="32"/>
      <c r="S140" s="32"/>
      <c r="T140" s="32"/>
      <c r="U140" s="32"/>
      <c r="V140" s="32"/>
      <c r="W140" s="32"/>
      <c r="X140" s="32"/>
      <c r="Y140" s="32"/>
      <c r="Z140" s="32"/>
      <c r="AA140" s="32"/>
      <c r="AB140" s="32"/>
      <c r="AC140" s="32"/>
      <c r="AD140" s="33"/>
      <c r="AE140" s="32"/>
      <c r="AF140" s="32">
        <f t="shared" si="38"/>
        <v>0</v>
      </c>
      <c r="AG140" s="32"/>
      <c r="AH140" s="32"/>
      <c r="AI140" s="32">
        <v>1485</v>
      </c>
      <c r="AJ140" s="31">
        <v>114498.94520836338</v>
      </c>
      <c r="AK140" s="31">
        <v>9326.7136707915579</v>
      </c>
      <c r="AL140" s="31">
        <v>123825.65887915494</v>
      </c>
      <c r="AM140" s="30" t="s">
        <v>18</v>
      </c>
    </row>
    <row r="141" spans="1:813" s="21" customFormat="1" ht="45" x14ac:dyDescent="0.25">
      <c r="A141" s="91">
        <v>62</v>
      </c>
      <c r="B141" s="63" t="s">
        <v>129</v>
      </c>
      <c r="C141" s="80" t="s">
        <v>130</v>
      </c>
      <c r="D141" s="63" t="s">
        <v>129</v>
      </c>
      <c r="E141" s="40" t="s">
        <v>128</v>
      </c>
      <c r="F141" s="74"/>
      <c r="G141" s="32"/>
      <c r="H141" s="32"/>
      <c r="I141" s="32"/>
      <c r="J141" s="32"/>
      <c r="K141" s="32"/>
      <c r="L141" s="32"/>
      <c r="M141" s="32"/>
      <c r="N141" s="32"/>
      <c r="O141" s="32"/>
      <c r="P141" s="33"/>
      <c r="Q141" s="32"/>
      <c r="R141" s="32"/>
      <c r="S141" s="32"/>
      <c r="T141" s="32"/>
      <c r="U141" s="32"/>
      <c r="V141" s="32"/>
      <c r="W141" s="32"/>
      <c r="X141" s="32"/>
      <c r="Y141" s="32"/>
      <c r="Z141" s="32"/>
      <c r="AA141" s="32"/>
      <c r="AB141" s="32"/>
      <c r="AC141" s="32"/>
      <c r="AD141" s="33"/>
      <c r="AE141" s="32"/>
      <c r="AF141" s="32">
        <f t="shared" si="38"/>
        <v>0</v>
      </c>
      <c r="AG141" s="32"/>
      <c r="AH141" s="32"/>
      <c r="AI141" s="32">
        <v>1185</v>
      </c>
      <c r="AJ141" s="31">
        <v>91367.845166269763</v>
      </c>
      <c r="AK141" s="31">
        <v>7442.5290908336665</v>
      </c>
      <c r="AL141" s="31">
        <v>98810.374257103424</v>
      </c>
      <c r="AM141" s="30" t="s">
        <v>18</v>
      </c>
    </row>
    <row r="142" spans="1:813" s="21" customFormat="1" ht="90" x14ac:dyDescent="0.25">
      <c r="A142" s="91">
        <v>63</v>
      </c>
      <c r="B142" s="63" t="s">
        <v>126</v>
      </c>
      <c r="C142" s="80" t="s">
        <v>127</v>
      </c>
      <c r="D142" s="63" t="s">
        <v>126</v>
      </c>
      <c r="E142" s="40" t="s">
        <v>125</v>
      </c>
      <c r="F142" s="74"/>
      <c r="G142" s="32"/>
      <c r="H142" s="32"/>
      <c r="I142" s="32"/>
      <c r="J142" s="32"/>
      <c r="K142" s="32"/>
      <c r="L142" s="32">
        <v>230</v>
      </c>
      <c r="M142" s="32"/>
      <c r="N142" s="32"/>
      <c r="O142" s="32"/>
      <c r="P142" s="33"/>
      <c r="Q142" s="32"/>
      <c r="R142" s="32"/>
      <c r="S142" s="32"/>
      <c r="T142" s="32"/>
      <c r="U142" s="32"/>
      <c r="V142" s="32"/>
      <c r="W142" s="32"/>
      <c r="X142" s="32"/>
      <c r="Y142" s="32"/>
      <c r="Z142" s="32"/>
      <c r="AA142" s="32"/>
      <c r="AB142" s="32"/>
      <c r="AC142" s="32"/>
      <c r="AD142" s="33"/>
      <c r="AE142" s="32"/>
      <c r="AF142" s="32">
        <f t="shared" si="38"/>
        <v>230</v>
      </c>
      <c r="AG142" s="32"/>
      <c r="AH142" s="32"/>
      <c r="AI142" s="32">
        <v>950</v>
      </c>
      <c r="AJ142" s="31">
        <v>84690.070373437033</v>
      </c>
      <c r="AK142" s="31">
        <v>6898.5791589155951</v>
      </c>
      <c r="AL142" s="31">
        <v>91588.649532352632</v>
      </c>
      <c r="AM142" s="30" t="s">
        <v>18</v>
      </c>
    </row>
    <row r="143" spans="1:813" s="21" customFormat="1" x14ac:dyDescent="0.25">
      <c r="A143" s="91">
        <v>64</v>
      </c>
      <c r="B143" s="63" t="s">
        <v>123</v>
      </c>
      <c r="C143" s="80" t="s">
        <v>124</v>
      </c>
      <c r="D143" s="63" t="s">
        <v>123</v>
      </c>
      <c r="E143" s="40"/>
      <c r="F143" s="74"/>
      <c r="G143" s="32"/>
      <c r="H143" s="32"/>
      <c r="I143" s="32"/>
      <c r="J143" s="32"/>
      <c r="K143" s="32"/>
      <c r="L143" s="32"/>
      <c r="M143" s="32"/>
      <c r="N143" s="32"/>
      <c r="O143" s="32"/>
      <c r="P143" s="33"/>
      <c r="Q143" s="32"/>
      <c r="R143" s="32"/>
      <c r="S143" s="32"/>
      <c r="T143" s="32"/>
      <c r="U143" s="32"/>
      <c r="V143" s="32">
        <v>190</v>
      </c>
      <c r="W143" s="32"/>
      <c r="X143" s="32"/>
      <c r="Y143" s="32"/>
      <c r="Z143" s="32"/>
      <c r="AA143" s="32"/>
      <c r="AB143" s="32"/>
      <c r="AC143" s="32"/>
      <c r="AD143" s="33"/>
      <c r="AE143" s="32"/>
      <c r="AF143" s="32">
        <f t="shared" si="38"/>
        <v>190</v>
      </c>
      <c r="AG143" s="32"/>
      <c r="AH143" s="32"/>
      <c r="AI143" s="32">
        <v>390</v>
      </c>
      <c r="AJ143" s="31">
        <v>39970.991571592487</v>
      </c>
      <c r="AK143" s="31">
        <v>3255.9076666379228</v>
      </c>
      <c r="AL143" s="31">
        <v>43226.899238230413</v>
      </c>
      <c r="AM143" s="30" t="s">
        <v>18</v>
      </c>
    </row>
    <row r="144" spans="1:813" s="21" customFormat="1" ht="60.75" thickBot="1" x14ac:dyDescent="0.3">
      <c r="A144" s="90">
        <v>65</v>
      </c>
      <c r="B144" s="72" t="s">
        <v>121</v>
      </c>
      <c r="C144" s="89" t="s">
        <v>122</v>
      </c>
      <c r="D144" s="72" t="s">
        <v>121</v>
      </c>
      <c r="E144" s="61" t="s">
        <v>120</v>
      </c>
      <c r="F144" s="60"/>
      <c r="G144" s="58"/>
      <c r="H144" s="58">
        <v>25</v>
      </c>
      <c r="I144" s="58"/>
      <c r="J144" s="58">
        <v>100</v>
      </c>
      <c r="K144" s="58"/>
      <c r="L144" s="58">
        <v>165</v>
      </c>
      <c r="M144" s="58"/>
      <c r="N144" s="58">
        <v>265</v>
      </c>
      <c r="O144" s="58"/>
      <c r="P144" s="59">
        <v>20</v>
      </c>
      <c r="Q144" s="58"/>
      <c r="R144" s="58">
        <v>100</v>
      </c>
      <c r="S144" s="58"/>
      <c r="T144" s="58">
        <v>190</v>
      </c>
      <c r="U144" s="58"/>
      <c r="V144" s="58">
        <v>190</v>
      </c>
      <c r="W144" s="58"/>
      <c r="X144" s="58">
        <v>65</v>
      </c>
      <c r="Y144" s="58"/>
      <c r="Z144" s="58">
        <v>20</v>
      </c>
      <c r="AA144" s="58"/>
      <c r="AB144" s="58">
        <v>10</v>
      </c>
      <c r="AC144" s="58"/>
      <c r="AD144" s="59">
        <v>75</v>
      </c>
      <c r="AE144" s="58"/>
      <c r="AF144" s="58">
        <f t="shared" si="38"/>
        <v>1225</v>
      </c>
      <c r="AG144" s="58"/>
      <c r="AH144" s="58"/>
      <c r="AI144" s="58">
        <v>620</v>
      </c>
      <c r="AJ144" s="57">
        <v>116137.81276793631</v>
      </c>
      <c r="AK144" s="57">
        <v>9460.2105204321342</v>
      </c>
      <c r="AL144" s="57">
        <v>125598.02328836845</v>
      </c>
      <c r="AM144" s="56" t="s">
        <v>18</v>
      </c>
    </row>
    <row r="145" spans="1:813" s="65" customFormat="1" ht="50.25" customHeight="1" thickBot="1" x14ac:dyDescent="0.3">
      <c r="A145" s="219" t="s">
        <v>119</v>
      </c>
      <c r="B145" s="219"/>
      <c r="C145" s="219"/>
      <c r="D145" s="219"/>
      <c r="E145" s="88"/>
      <c r="F145" s="87"/>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5">
        <f>SUM(AF146:AF152)</f>
        <v>0</v>
      </c>
      <c r="AG145" s="85"/>
      <c r="AH145" s="85"/>
      <c r="AI145" s="85">
        <f>SUM(AI146:AI152)</f>
        <v>12290</v>
      </c>
      <c r="AJ145" s="85">
        <f>SUM(AJ146:AJ152)</f>
        <v>947604.06505776849</v>
      </c>
      <c r="AK145" s="85">
        <f>SUM(AK146:AK152)</f>
        <v>77188.76162560824</v>
      </c>
      <c r="AL145" s="85">
        <f>SUM(AL146:AL152)</f>
        <v>1024792.8266833766</v>
      </c>
      <c r="AM145" s="84"/>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row>
    <row r="146" spans="1:813" s="21" customFormat="1" ht="75" x14ac:dyDescent="0.25">
      <c r="A146" s="64">
        <v>66</v>
      </c>
      <c r="B146" s="64" t="s">
        <v>117</v>
      </c>
      <c r="C146" s="50" t="s">
        <v>118</v>
      </c>
      <c r="D146" s="64" t="s">
        <v>117</v>
      </c>
      <c r="E146" s="83" t="s">
        <v>116</v>
      </c>
      <c r="F146" s="82"/>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f t="shared" ref="AF146:AF152" si="39">SUM(G146:AE146)</f>
        <v>0</v>
      </c>
      <c r="AG146" s="33"/>
      <c r="AH146" s="33"/>
      <c r="AI146" s="33">
        <v>1090</v>
      </c>
      <c r="AJ146" s="46">
        <v>84042.996819606778</v>
      </c>
      <c r="AK146" s="46">
        <v>6845.8706405136672</v>
      </c>
      <c r="AL146" s="46">
        <v>90888.86746012044</v>
      </c>
      <c r="AM146" s="45" t="s">
        <v>18</v>
      </c>
    </row>
    <row r="147" spans="1:813" s="21" customFormat="1" ht="60" x14ac:dyDescent="0.25">
      <c r="A147" s="34">
        <v>67</v>
      </c>
      <c r="B147" s="74" t="s">
        <v>114</v>
      </c>
      <c r="C147" s="34" t="s">
        <v>115</v>
      </c>
      <c r="D147" s="74" t="s">
        <v>114</v>
      </c>
      <c r="E147" s="40" t="s">
        <v>113</v>
      </c>
      <c r="F147" s="74"/>
      <c r="G147" s="32"/>
      <c r="H147" s="32"/>
      <c r="I147" s="32"/>
      <c r="J147" s="32"/>
      <c r="K147" s="32"/>
      <c r="L147" s="32"/>
      <c r="M147" s="32"/>
      <c r="N147" s="32"/>
      <c r="O147" s="32"/>
      <c r="P147" s="33"/>
      <c r="Q147" s="32"/>
      <c r="R147" s="32"/>
      <c r="S147" s="32"/>
      <c r="T147" s="32"/>
      <c r="U147" s="32"/>
      <c r="V147" s="32"/>
      <c r="W147" s="32"/>
      <c r="X147" s="32"/>
      <c r="Y147" s="32"/>
      <c r="Z147" s="32"/>
      <c r="AA147" s="32"/>
      <c r="AB147" s="32"/>
      <c r="AC147" s="32"/>
      <c r="AD147" s="33"/>
      <c r="AE147" s="32"/>
      <c r="AF147" s="32">
        <f t="shared" si="39"/>
        <v>0</v>
      </c>
      <c r="AG147" s="32"/>
      <c r="AH147" s="32"/>
      <c r="AI147" s="32">
        <v>2970</v>
      </c>
      <c r="AJ147" s="31">
        <v>228997.89041672676</v>
      </c>
      <c r="AK147" s="31">
        <v>18653.427341583116</v>
      </c>
      <c r="AL147" s="31">
        <v>247651.31775830989</v>
      </c>
      <c r="AM147" s="30" t="s">
        <v>18</v>
      </c>
    </row>
    <row r="148" spans="1:813" s="21" customFormat="1" ht="75" x14ac:dyDescent="0.25">
      <c r="A148" s="74">
        <v>68</v>
      </c>
      <c r="B148" s="63" t="s">
        <v>112</v>
      </c>
      <c r="C148" s="80" t="s">
        <v>111</v>
      </c>
      <c r="D148" s="63" t="s">
        <v>110</v>
      </c>
      <c r="E148" s="36" t="s">
        <v>109</v>
      </c>
      <c r="F148" s="63"/>
      <c r="G148" s="32"/>
      <c r="H148" s="32"/>
      <c r="I148" s="32"/>
      <c r="J148" s="32"/>
      <c r="K148" s="32"/>
      <c r="L148" s="32"/>
      <c r="M148" s="32"/>
      <c r="N148" s="32"/>
      <c r="O148" s="32"/>
      <c r="P148" s="33"/>
      <c r="Q148" s="32"/>
      <c r="R148" s="32"/>
      <c r="S148" s="32"/>
      <c r="T148" s="32"/>
      <c r="U148" s="32"/>
      <c r="V148" s="32"/>
      <c r="W148" s="32"/>
      <c r="X148" s="32"/>
      <c r="Y148" s="32"/>
      <c r="Z148" s="32"/>
      <c r="AA148" s="32"/>
      <c r="AB148" s="32"/>
      <c r="AC148" s="32"/>
      <c r="AD148" s="33"/>
      <c r="AE148" s="32"/>
      <c r="AF148" s="32">
        <f t="shared" si="39"/>
        <v>0</v>
      </c>
      <c r="AG148" s="32"/>
      <c r="AH148" s="32"/>
      <c r="AI148" s="32">
        <v>1020</v>
      </c>
      <c r="AJ148" s="31">
        <v>78645.740143118295</v>
      </c>
      <c r="AK148" s="31">
        <v>6406.227571856828</v>
      </c>
      <c r="AL148" s="31">
        <v>85051.967714975122</v>
      </c>
      <c r="AM148" s="30" t="s">
        <v>18</v>
      </c>
    </row>
    <row r="149" spans="1:813" s="21" customFormat="1" ht="75" x14ac:dyDescent="0.25">
      <c r="A149" s="34">
        <v>69</v>
      </c>
      <c r="B149" s="74" t="s">
        <v>108</v>
      </c>
      <c r="C149" s="34" t="s">
        <v>107</v>
      </c>
      <c r="D149" s="74" t="s">
        <v>106</v>
      </c>
      <c r="E149" s="40" t="s">
        <v>105</v>
      </c>
      <c r="F149" s="74"/>
      <c r="G149" s="32"/>
      <c r="H149" s="32"/>
      <c r="I149" s="32"/>
      <c r="J149" s="32"/>
      <c r="K149" s="32"/>
      <c r="L149" s="32"/>
      <c r="M149" s="32"/>
      <c r="N149" s="32"/>
      <c r="O149" s="32"/>
      <c r="P149" s="33"/>
      <c r="Q149" s="32"/>
      <c r="R149" s="32"/>
      <c r="S149" s="32"/>
      <c r="T149" s="32"/>
      <c r="U149" s="32"/>
      <c r="V149" s="32"/>
      <c r="W149" s="32"/>
      <c r="X149" s="32"/>
      <c r="Y149" s="32"/>
      <c r="Z149" s="32"/>
      <c r="AA149" s="32"/>
      <c r="AB149" s="32"/>
      <c r="AC149" s="32"/>
      <c r="AD149" s="33"/>
      <c r="AE149" s="32"/>
      <c r="AF149" s="32">
        <f t="shared" si="39"/>
        <v>0</v>
      </c>
      <c r="AG149" s="32"/>
      <c r="AH149" s="32"/>
      <c r="AI149" s="32">
        <v>1080</v>
      </c>
      <c r="AJ149" s="31">
        <v>83271.960151537001</v>
      </c>
      <c r="AK149" s="31">
        <v>6783.0644878484054</v>
      </c>
      <c r="AL149" s="31">
        <v>90055.024639385403</v>
      </c>
      <c r="AM149" s="30" t="s">
        <v>18</v>
      </c>
    </row>
    <row r="150" spans="1:813" s="21" customFormat="1" ht="75" x14ac:dyDescent="0.25">
      <c r="A150" s="74">
        <v>70</v>
      </c>
      <c r="B150" s="74" t="s">
        <v>103</v>
      </c>
      <c r="C150" s="34" t="s">
        <v>104</v>
      </c>
      <c r="D150" s="74" t="s">
        <v>103</v>
      </c>
      <c r="E150" s="40" t="s">
        <v>102</v>
      </c>
      <c r="F150" s="74"/>
      <c r="G150" s="32"/>
      <c r="H150" s="32"/>
      <c r="I150" s="32"/>
      <c r="J150" s="32"/>
      <c r="K150" s="32"/>
      <c r="L150" s="32"/>
      <c r="M150" s="32"/>
      <c r="N150" s="32"/>
      <c r="O150" s="32"/>
      <c r="P150" s="33"/>
      <c r="Q150" s="32"/>
      <c r="R150" s="32"/>
      <c r="S150" s="32"/>
      <c r="T150" s="32"/>
      <c r="U150" s="32"/>
      <c r="V150" s="32"/>
      <c r="W150" s="32"/>
      <c r="X150" s="32"/>
      <c r="Y150" s="32"/>
      <c r="Z150" s="32"/>
      <c r="AA150" s="32"/>
      <c r="AB150" s="32"/>
      <c r="AC150" s="32"/>
      <c r="AD150" s="33"/>
      <c r="AE150" s="32"/>
      <c r="AF150" s="32">
        <f t="shared" si="39"/>
        <v>0</v>
      </c>
      <c r="AG150" s="32"/>
      <c r="AH150" s="32"/>
      <c r="AI150" s="32">
        <v>3540</v>
      </c>
      <c r="AJ150" s="31">
        <v>272946.98049670464</v>
      </c>
      <c r="AK150" s="31">
        <v>22233.378043503104</v>
      </c>
      <c r="AL150" s="31">
        <v>295180.35854020773</v>
      </c>
      <c r="AM150" s="30" t="s">
        <v>18</v>
      </c>
    </row>
    <row r="151" spans="1:813" s="21" customFormat="1" ht="75" x14ac:dyDescent="0.25">
      <c r="A151" s="34">
        <v>71</v>
      </c>
      <c r="B151" s="81" t="s">
        <v>101</v>
      </c>
      <c r="C151" s="80" t="s">
        <v>100</v>
      </c>
      <c r="D151" s="63" t="s">
        <v>99</v>
      </c>
      <c r="E151" s="36" t="s">
        <v>98</v>
      </c>
      <c r="F151" s="63"/>
      <c r="G151" s="32"/>
      <c r="H151" s="32"/>
      <c r="I151" s="32"/>
      <c r="J151" s="32"/>
      <c r="K151" s="32"/>
      <c r="L151" s="32"/>
      <c r="M151" s="32"/>
      <c r="N151" s="32"/>
      <c r="O151" s="32"/>
      <c r="P151" s="33"/>
      <c r="Q151" s="32"/>
      <c r="R151" s="32"/>
      <c r="S151" s="32"/>
      <c r="T151" s="32"/>
      <c r="U151" s="32"/>
      <c r="V151" s="32"/>
      <c r="W151" s="32"/>
      <c r="X151" s="32"/>
      <c r="Y151" s="32"/>
      <c r="Z151" s="32"/>
      <c r="AA151" s="32"/>
      <c r="AB151" s="32"/>
      <c r="AC151" s="32"/>
      <c r="AD151" s="33"/>
      <c r="AE151" s="32"/>
      <c r="AF151" s="32">
        <f t="shared" si="39"/>
        <v>0</v>
      </c>
      <c r="AG151" s="32"/>
      <c r="AH151" s="32"/>
      <c r="AI151" s="32">
        <v>835</v>
      </c>
      <c r="AJ151" s="31">
        <v>64381.561783827223</v>
      </c>
      <c r="AK151" s="31">
        <v>5244.3137475494614</v>
      </c>
      <c r="AL151" s="31">
        <v>69625.875531376689</v>
      </c>
      <c r="AM151" s="30" t="s">
        <v>18</v>
      </c>
    </row>
    <row r="152" spans="1:813" s="21" customFormat="1" ht="45.75" thickBot="1" x14ac:dyDescent="0.3">
      <c r="A152" s="60">
        <v>72</v>
      </c>
      <c r="B152" s="60" t="s">
        <v>97</v>
      </c>
      <c r="C152" s="62" t="s">
        <v>96</v>
      </c>
      <c r="D152" s="60" t="s">
        <v>95</v>
      </c>
      <c r="E152" s="73" t="s">
        <v>94</v>
      </c>
      <c r="F152" s="72"/>
      <c r="G152" s="58"/>
      <c r="H152" s="58"/>
      <c r="I152" s="58"/>
      <c r="J152" s="58"/>
      <c r="K152" s="58"/>
      <c r="L152" s="58"/>
      <c r="M152" s="58"/>
      <c r="N152" s="58"/>
      <c r="O152" s="58"/>
      <c r="P152" s="59"/>
      <c r="Q152" s="58"/>
      <c r="R152" s="58"/>
      <c r="S152" s="58"/>
      <c r="T152" s="58"/>
      <c r="U152" s="58"/>
      <c r="V152" s="58"/>
      <c r="W152" s="58"/>
      <c r="X152" s="58"/>
      <c r="Y152" s="58"/>
      <c r="Z152" s="58"/>
      <c r="AA152" s="58"/>
      <c r="AB152" s="58"/>
      <c r="AC152" s="58"/>
      <c r="AD152" s="59"/>
      <c r="AE152" s="58"/>
      <c r="AF152" s="58">
        <f t="shared" si="39"/>
        <v>0</v>
      </c>
      <c r="AG152" s="58"/>
      <c r="AH152" s="58"/>
      <c r="AI152" s="58">
        <v>1755</v>
      </c>
      <c r="AJ152" s="57">
        <v>135316.93524624762</v>
      </c>
      <c r="AK152" s="57">
        <v>11022.479792753658</v>
      </c>
      <c r="AL152" s="57">
        <v>146339.41503900129</v>
      </c>
      <c r="AM152" s="56" t="s">
        <v>18</v>
      </c>
    </row>
    <row r="153" spans="1:813" s="65" customFormat="1" ht="50.25" customHeight="1" thickBot="1" x14ac:dyDescent="0.3">
      <c r="A153" s="220" t="s">
        <v>93</v>
      </c>
      <c r="B153" s="221"/>
      <c r="C153" s="221"/>
      <c r="D153" s="221"/>
      <c r="E153" s="79"/>
      <c r="F153" s="78"/>
      <c r="G153" s="77"/>
      <c r="H153" s="77">
        <f>SUM(H154:H159)</f>
        <v>460</v>
      </c>
      <c r="I153" s="77"/>
      <c r="J153" s="77">
        <f>SUM(J154:J159)</f>
        <v>750</v>
      </c>
      <c r="K153" s="77"/>
      <c r="L153" s="77">
        <f>SUM(L154:L159)</f>
        <v>1880</v>
      </c>
      <c r="M153" s="77"/>
      <c r="N153" s="77">
        <f>SUM(N154:N159)</f>
        <v>2015</v>
      </c>
      <c r="O153" s="77"/>
      <c r="P153" s="77">
        <f>SUM(P154:P159)</f>
        <v>400</v>
      </c>
      <c r="Q153" s="77"/>
      <c r="R153" s="77">
        <f>SUM(R154:R159)</f>
        <v>890</v>
      </c>
      <c r="S153" s="77"/>
      <c r="T153" s="77">
        <f>SUM(T154:T159)</f>
        <v>2720</v>
      </c>
      <c r="U153" s="77"/>
      <c r="V153" s="77">
        <f>SUM(V154:V159)</f>
        <v>1930</v>
      </c>
      <c r="W153" s="77"/>
      <c r="X153" s="77">
        <f>SUM(X154:X159)</f>
        <v>110</v>
      </c>
      <c r="Y153" s="77"/>
      <c r="Z153" s="77">
        <f>SUM(Z154:Z159)</f>
        <v>905</v>
      </c>
      <c r="AA153" s="77"/>
      <c r="AB153" s="77">
        <f>SUM(AB154:AB159)</f>
        <v>1190</v>
      </c>
      <c r="AC153" s="77"/>
      <c r="AD153" s="77">
        <f>SUM(AD154:AD159)</f>
        <v>945</v>
      </c>
      <c r="AE153" s="77"/>
      <c r="AF153" s="76">
        <f>SUM(AF154:AF159)</f>
        <v>14195</v>
      </c>
      <c r="AG153" s="76"/>
      <c r="AH153" s="76"/>
      <c r="AI153" s="76">
        <f>SUM(AI154:AI159)</f>
        <v>15605</v>
      </c>
      <c r="AJ153" s="76">
        <f>SUM(AJ154:AJ159)</f>
        <v>1641999.9963063486</v>
      </c>
      <c r="AK153" s="76">
        <f>SUM(AK154:AK159)</f>
        <v>151999.99965807854</v>
      </c>
      <c r="AL153" s="76">
        <f>SUM(AL154:AL159)</f>
        <v>1793999.9959644268</v>
      </c>
      <c r="AM153" s="75"/>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row>
    <row r="154" spans="1:813" s="21" customFormat="1" ht="45" x14ac:dyDescent="0.25">
      <c r="A154" s="202">
        <v>73</v>
      </c>
      <c r="B154" s="64" t="s">
        <v>92</v>
      </c>
      <c r="C154" s="50" t="s">
        <v>91</v>
      </c>
      <c r="D154" s="64" t="s">
        <v>90</v>
      </c>
      <c r="E154" s="49" t="s">
        <v>89</v>
      </c>
      <c r="F154" s="64"/>
      <c r="G154" s="33"/>
      <c r="H154" s="33"/>
      <c r="I154" s="33"/>
      <c r="J154" s="33"/>
      <c r="K154" s="33"/>
      <c r="L154" s="33"/>
      <c r="M154" s="33"/>
      <c r="N154" s="33"/>
      <c r="O154" s="33"/>
      <c r="P154" s="33">
        <v>5</v>
      </c>
      <c r="Q154" s="33"/>
      <c r="R154" s="33"/>
      <c r="S154" s="33"/>
      <c r="T154" s="33"/>
      <c r="U154" s="33"/>
      <c r="V154" s="33">
        <v>205</v>
      </c>
      <c r="W154" s="33"/>
      <c r="X154" s="33">
        <v>55</v>
      </c>
      <c r="Y154" s="33"/>
      <c r="Z154" s="33">
        <v>45</v>
      </c>
      <c r="AA154" s="33"/>
      <c r="AB154" s="33"/>
      <c r="AC154" s="33"/>
      <c r="AD154" s="33"/>
      <c r="AE154" s="33"/>
      <c r="AF154" s="33">
        <f t="shared" ref="AF154:AF159" si="40">SUM(G154:AE154)</f>
        <v>310</v>
      </c>
      <c r="AG154" s="33"/>
      <c r="AH154" s="33"/>
      <c r="AI154" s="33">
        <v>4380</v>
      </c>
      <c r="AJ154" s="46">
        <v>294926.67919087707</v>
      </c>
      <c r="AK154" s="46">
        <v>27301.373469557446</v>
      </c>
      <c r="AL154" s="46">
        <v>322228.05266043451</v>
      </c>
      <c r="AM154" s="45" t="s">
        <v>88</v>
      </c>
    </row>
    <row r="155" spans="1:813" s="21" customFormat="1" ht="45" x14ac:dyDescent="0.25">
      <c r="A155" s="181"/>
      <c r="B155" s="63" t="s">
        <v>87</v>
      </c>
      <c r="C155" s="34" t="s">
        <v>86</v>
      </c>
      <c r="D155" s="63" t="s">
        <v>85</v>
      </c>
      <c r="E155" s="36" t="s">
        <v>84</v>
      </c>
      <c r="F155" s="63"/>
      <c r="G155" s="32"/>
      <c r="H155" s="32"/>
      <c r="I155" s="32"/>
      <c r="J155" s="32"/>
      <c r="K155" s="32"/>
      <c r="L155" s="32">
        <v>330</v>
      </c>
      <c r="M155" s="32"/>
      <c r="N155" s="32">
        <v>320</v>
      </c>
      <c r="O155" s="32"/>
      <c r="P155" s="33"/>
      <c r="Q155" s="32"/>
      <c r="R155" s="32"/>
      <c r="S155" s="32"/>
      <c r="T155" s="32">
        <v>220</v>
      </c>
      <c r="U155" s="32"/>
      <c r="V155" s="32">
        <v>510</v>
      </c>
      <c r="W155" s="32"/>
      <c r="X155" s="32"/>
      <c r="Y155" s="32"/>
      <c r="Z155" s="32">
        <v>125</v>
      </c>
      <c r="AA155" s="32"/>
      <c r="AB155" s="32"/>
      <c r="AC155" s="32"/>
      <c r="AD155" s="33">
        <v>225</v>
      </c>
      <c r="AE155" s="32"/>
      <c r="AF155" s="32">
        <f t="shared" si="40"/>
        <v>1730</v>
      </c>
      <c r="AG155" s="32"/>
      <c r="AH155" s="32"/>
      <c r="AI155" s="32">
        <v>2020</v>
      </c>
      <c r="AJ155" s="31">
        <v>57948.47567386899</v>
      </c>
      <c r="AK155" s="31">
        <v>19249.797991734526</v>
      </c>
      <c r="AL155" s="31">
        <v>77198.273665603512</v>
      </c>
      <c r="AM155" s="30">
        <v>6056</v>
      </c>
      <c r="AN155" s="71"/>
    </row>
    <row r="156" spans="1:813" s="21" customFormat="1" ht="45" x14ac:dyDescent="0.25">
      <c r="A156" s="181"/>
      <c r="B156" s="74" t="s">
        <v>83</v>
      </c>
      <c r="C156" s="34" t="s">
        <v>82</v>
      </c>
      <c r="D156" s="74" t="s">
        <v>81</v>
      </c>
      <c r="E156" s="40" t="s">
        <v>80</v>
      </c>
      <c r="F156" s="74"/>
      <c r="G156" s="32"/>
      <c r="H156" s="32">
        <v>5</v>
      </c>
      <c r="I156" s="32"/>
      <c r="J156" s="32"/>
      <c r="K156" s="32"/>
      <c r="L156" s="32">
        <v>555</v>
      </c>
      <c r="M156" s="32"/>
      <c r="N156" s="32"/>
      <c r="O156" s="32"/>
      <c r="P156" s="33"/>
      <c r="Q156" s="32"/>
      <c r="R156" s="32"/>
      <c r="S156" s="32"/>
      <c r="T156" s="32"/>
      <c r="U156" s="32"/>
      <c r="V156" s="32"/>
      <c r="W156" s="32"/>
      <c r="X156" s="32">
        <v>55</v>
      </c>
      <c r="Y156" s="32"/>
      <c r="Z156" s="32">
        <v>45</v>
      </c>
      <c r="AA156" s="32"/>
      <c r="AB156" s="32"/>
      <c r="AC156" s="32"/>
      <c r="AD156" s="33">
        <v>75</v>
      </c>
      <c r="AE156" s="32"/>
      <c r="AF156" s="32">
        <f t="shared" si="40"/>
        <v>735</v>
      </c>
      <c r="AG156" s="32"/>
      <c r="AH156" s="32"/>
      <c r="AI156" s="32">
        <v>170</v>
      </c>
      <c r="AJ156" s="31">
        <v>42621.889920768866</v>
      </c>
      <c r="AK156" s="31">
        <v>3945.5099074036966</v>
      </c>
      <c r="AL156" s="31">
        <v>46567.399828172565</v>
      </c>
      <c r="AM156" s="30">
        <v>6058</v>
      </c>
      <c r="AN156" s="71"/>
    </row>
    <row r="157" spans="1:813" s="21" customFormat="1" ht="45" x14ac:dyDescent="0.25">
      <c r="A157" s="181"/>
      <c r="B157" s="63" t="s">
        <v>79</v>
      </c>
      <c r="C157" s="34" t="s">
        <v>78</v>
      </c>
      <c r="D157" s="63" t="s">
        <v>77</v>
      </c>
      <c r="E157" s="36" t="s">
        <v>76</v>
      </c>
      <c r="F157" s="63"/>
      <c r="G157" s="32"/>
      <c r="H157" s="32">
        <v>5</v>
      </c>
      <c r="I157" s="32"/>
      <c r="J157" s="32"/>
      <c r="K157" s="32"/>
      <c r="L157" s="32">
        <v>315</v>
      </c>
      <c r="M157" s="32"/>
      <c r="N157" s="32">
        <v>335</v>
      </c>
      <c r="O157" s="32"/>
      <c r="P157" s="33">
        <v>70</v>
      </c>
      <c r="Q157" s="32"/>
      <c r="R157" s="32">
        <v>420</v>
      </c>
      <c r="S157" s="32"/>
      <c r="T157" s="32">
        <v>420</v>
      </c>
      <c r="U157" s="32"/>
      <c r="V157" s="32">
        <v>535</v>
      </c>
      <c r="W157" s="32"/>
      <c r="X157" s="32"/>
      <c r="Y157" s="32"/>
      <c r="Z157" s="32">
        <v>100</v>
      </c>
      <c r="AA157" s="32"/>
      <c r="AB157" s="32"/>
      <c r="AC157" s="32"/>
      <c r="AD157" s="33">
        <v>230</v>
      </c>
      <c r="AE157" s="32"/>
      <c r="AF157" s="32">
        <f t="shared" si="40"/>
        <v>2430</v>
      </c>
      <c r="AG157" s="32"/>
      <c r="AH157" s="32"/>
      <c r="AI157" s="32">
        <v>3530</v>
      </c>
      <c r="AJ157" s="31">
        <v>337773.70728578902</v>
      </c>
      <c r="AK157" s="31">
        <v>31267.724425968263</v>
      </c>
      <c r="AL157" s="31">
        <v>369041.43171175692</v>
      </c>
      <c r="AM157" s="30">
        <v>6060</v>
      </c>
      <c r="AN157" s="71"/>
    </row>
    <row r="158" spans="1:813" s="21" customFormat="1" ht="45" x14ac:dyDescent="0.25">
      <c r="A158" s="181"/>
      <c r="B158" s="74" t="s">
        <v>75</v>
      </c>
      <c r="C158" s="34" t="s">
        <v>74</v>
      </c>
      <c r="D158" s="74" t="s">
        <v>73</v>
      </c>
      <c r="E158" s="40" t="s">
        <v>72</v>
      </c>
      <c r="F158" s="74"/>
      <c r="G158" s="32"/>
      <c r="H158" s="32">
        <v>450</v>
      </c>
      <c r="I158" s="32"/>
      <c r="J158" s="32">
        <v>580</v>
      </c>
      <c r="K158" s="32"/>
      <c r="L158" s="32">
        <v>375</v>
      </c>
      <c r="M158" s="32"/>
      <c r="N158" s="32">
        <v>945</v>
      </c>
      <c r="O158" s="32"/>
      <c r="P158" s="33">
        <v>315</v>
      </c>
      <c r="Q158" s="32"/>
      <c r="R158" s="32">
        <v>365</v>
      </c>
      <c r="S158" s="32"/>
      <c r="T158" s="32">
        <v>1060</v>
      </c>
      <c r="U158" s="32"/>
      <c r="V158" s="32">
        <v>460</v>
      </c>
      <c r="W158" s="32"/>
      <c r="X158" s="32"/>
      <c r="Y158" s="32"/>
      <c r="Z158" s="32">
        <v>90</v>
      </c>
      <c r="AA158" s="32"/>
      <c r="AB158" s="32">
        <v>1185</v>
      </c>
      <c r="AC158" s="32"/>
      <c r="AD158" s="33">
        <v>265</v>
      </c>
      <c r="AE158" s="32"/>
      <c r="AF158" s="32">
        <f t="shared" si="40"/>
        <v>6090</v>
      </c>
      <c r="AG158" s="32"/>
      <c r="AH158" s="32"/>
      <c r="AI158" s="32">
        <v>4880</v>
      </c>
      <c r="AJ158" s="31">
        <v>739248.67237488588</v>
      </c>
      <c r="AK158" s="31">
        <v>54546.771133363378</v>
      </c>
      <c r="AL158" s="31">
        <v>793795.44350824924</v>
      </c>
      <c r="AM158" s="30">
        <v>6062</v>
      </c>
      <c r="AN158" s="71"/>
    </row>
    <row r="159" spans="1:813" s="21" customFormat="1" ht="45.75" thickBot="1" x14ac:dyDescent="0.3">
      <c r="A159" s="222"/>
      <c r="B159" s="72" t="s">
        <v>71</v>
      </c>
      <c r="C159" s="62" t="s">
        <v>70</v>
      </c>
      <c r="D159" s="72" t="s">
        <v>69</v>
      </c>
      <c r="E159" s="73" t="s">
        <v>68</v>
      </c>
      <c r="F159" s="72"/>
      <c r="G159" s="58"/>
      <c r="H159" s="58"/>
      <c r="I159" s="58"/>
      <c r="J159" s="58">
        <v>170</v>
      </c>
      <c r="K159" s="58"/>
      <c r="L159" s="58">
        <v>305</v>
      </c>
      <c r="M159" s="58"/>
      <c r="N159" s="58">
        <v>415</v>
      </c>
      <c r="O159" s="58"/>
      <c r="P159" s="59">
        <v>10</v>
      </c>
      <c r="Q159" s="58"/>
      <c r="R159" s="58">
        <v>105</v>
      </c>
      <c r="S159" s="58"/>
      <c r="T159" s="58">
        <v>1020</v>
      </c>
      <c r="U159" s="58"/>
      <c r="V159" s="58">
        <v>220</v>
      </c>
      <c r="W159" s="58"/>
      <c r="X159" s="58"/>
      <c r="Y159" s="58"/>
      <c r="Z159" s="58">
        <v>500</v>
      </c>
      <c r="AA159" s="58"/>
      <c r="AB159" s="58">
        <v>5</v>
      </c>
      <c r="AC159" s="58"/>
      <c r="AD159" s="59">
        <v>150</v>
      </c>
      <c r="AE159" s="58"/>
      <c r="AF159" s="58">
        <f t="shared" si="40"/>
        <v>2900</v>
      </c>
      <c r="AG159" s="58"/>
      <c r="AH159" s="58"/>
      <c r="AI159" s="58">
        <v>625</v>
      </c>
      <c r="AJ159" s="57">
        <v>169480.57186015876</v>
      </c>
      <c r="AK159" s="57">
        <v>15688.822730051241</v>
      </c>
      <c r="AL159" s="57">
        <v>185169.39459020999</v>
      </c>
      <c r="AM159" s="56">
        <v>6064</v>
      </c>
      <c r="AN159" s="71"/>
    </row>
    <row r="160" spans="1:813" s="65" customFormat="1" ht="50.25" customHeight="1" thickBot="1" x14ac:dyDescent="0.3">
      <c r="A160" s="223" t="s">
        <v>67</v>
      </c>
      <c r="B160" s="224"/>
      <c r="C160" s="224"/>
      <c r="D160" s="224"/>
      <c r="E160" s="70"/>
      <c r="F160" s="69"/>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7">
        <f>SUM(AF161:AF163)</f>
        <v>0</v>
      </c>
      <c r="AG160" s="67"/>
      <c r="AH160" s="67"/>
      <c r="AI160" s="67">
        <f>SUM(AI161:AI163)</f>
        <v>4440</v>
      </c>
      <c r="AJ160" s="67">
        <f>SUM(AJ161:AJ163)</f>
        <v>342340.28062298545</v>
      </c>
      <c r="AK160" s="67">
        <f>SUM(AK161:AK163)</f>
        <v>27885.931783376775</v>
      </c>
      <c r="AL160" s="67">
        <f>SUM(AL161:AL163)</f>
        <v>370226.21240636223</v>
      </c>
      <c r="AM160" s="66"/>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c r="SP160" s="1"/>
      <c r="SQ160" s="1"/>
      <c r="SR160" s="1"/>
      <c r="SS160" s="1"/>
      <c r="ST160" s="1"/>
      <c r="SU160" s="1"/>
      <c r="SV160" s="1"/>
      <c r="SW160" s="1"/>
      <c r="SX160" s="1"/>
      <c r="SY160" s="1"/>
      <c r="SZ160" s="1"/>
      <c r="TA160" s="1"/>
      <c r="TB160" s="1"/>
      <c r="TC160" s="1"/>
      <c r="TD160" s="1"/>
      <c r="TE160" s="1"/>
      <c r="TF160" s="1"/>
      <c r="TG160" s="1"/>
      <c r="TH160" s="1"/>
      <c r="TI160" s="1"/>
      <c r="TJ160" s="1"/>
      <c r="TK160" s="1"/>
      <c r="TL160" s="1"/>
      <c r="TM160" s="1"/>
      <c r="TN160" s="1"/>
      <c r="TO160" s="1"/>
      <c r="TP160" s="1"/>
      <c r="TQ160" s="1"/>
      <c r="TR160" s="1"/>
      <c r="TS160" s="1"/>
      <c r="TT160" s="1"/>
      <c r="TU160" s="1"/>
      <c r="TV160" s="1"/>
      <c r="TW160" s="1"/>
      <c r="TX160" s="1"/>
      <c r="TY160" s="1"/>
      <c r="TZ160" s="1"/>
      <c r="UA160" s="1"/>
      <c r="UB160" s="1"/>
      <c r="UC160" s="1"/>
      <c r="UD160" s="1"/>
      <c r="UE160" s="1"/>
      <c r="UF160" s="1"/>
      <c r="UG160" s="1"/>
      <c r="UH160" s="1"/>
      <c r="UI160" s="1"/>
      <c r="UJ160" s="1"/>
      <c r="UK160" s="1"/>
      <c r="UL160" s="1"/>
      <c r="UM160" s="1"/>
      <c r="UN160" s="1"/>
      <c r="UO160" s="1"/>
      <c r="UP160" s="1"/>
      <c r="UQ160" s="1"/>
      <c r="UR160" s="1"/>
      <c r="US160" s="1"/>
      <c r="UT160" s="1"/>
      <c r="UU160" s="1"/>
      <c r="UV160" s="1"/>
      <c r="UW160" s="1"/>
      <c r="UX160" s="1"/>
      <c r="UY160" s="1"/>
      <c r="UZ160" s="1"/>
      <c r="VA160" s="1"/>
      <c r="VB160" s="1"/>
      <c r="VC160" s="1"/>
      <c r="VD160" s="1"/>
      <c r="VE160" s="1"/>
      <c r="VF160" s="1"/>
      <c r="VG160" s="1"/>
      <c r="VH160" s="1"/>
      <c r="VI160" s="1"/>
      <c r="VJ160" s="1"/>
      <c r="VK160" s="1"/>
      <c r="VL160" s="1"/>
      <c r="VM160" s="1"/>
      <c r="VN160" s="1"/>
      <c r="VO160" s="1"/>
      <c r="VP160" s="1"/>
      <c r="VQ160" s="1"/>
      <c r="VR160" s="1"/>
      <c r="VS160" s="1"/>
      <c r="VT160" s="1"/>
      <c r="VU160" s="1"/>
      <c r="VV160" s="1"/>
      <c r="VW160" s="1"/>
      <c r="VX160" s="1"/>
      <c r="VY160" s="1"/>
      <c r="VZ160" s="1"/>
      <c r="WA160" s="1"/>
      <c r="WB160" s="1"/>
      <c r="WC160" s="1"/>
      <c r="WD160" s="1"/>
      <c r="WE160" s="1"/>
      <c r="WF160" s="1"/>
      <c r="WG160" s="1"/>
      <c r="WH160" s="1"/>
      <c r="WI160" s="1"/>
      <c r="WJ160" s="1"/>
      <c r="WK160" s="1"/>
      <c r="WL160" s="1"/>
      <c r="WM160" s="1"/>
      <c r="WN160" s="1"/>
      <c r="WO160" s="1"/>
      <c r="WP160" s="1"/>
      <c r="WQ160" s="1"/>
      <c r="WR160" s="1"/>
      <c r="WS160" s="1"/>
      <c r="WT160" s="1"/>
      <c r="WU160" s="1"/>
      <c r="WV160" s="1"/>
      <c r="WW160" s="1"/>
      <c r="WX160" s="1"/>
      <c r="WY160" s="1"/>
      <c r="WZ160" s="1"/>
      <c r="XA160" s="1"/>
      <c r="XB160" s="1"/>
      <c r="XC160" s="1"/>
      <c r="XD160" s="1"/>
      <c r="XE160" s="1"/>
      <c r="XF160" s="1"/>
      <c r="XG160" s="1"/>
      <c r="XH160" s="1"/>
      <c r="XI160" s="1"/>
      <c r="XJ160" s="1"/>
      <c r="XK160" s="1"/>
      <c r="XL160" s="1"/>
      <c r="XM160" s="1"/>
      <c r="XN160" s="1"/>
      <c r="XO160" s="1"/>
      <c r="XP160" s="1"/>
      <c r="XQ160" s="1"/>
      <c r="XR160" s="1"/>
      <c r="XS160" s="1"/>
      <c r="XT160" s="1"/>
      <c r="XU160" s="1"/>
      <c r="XV160" s="1"/>
      <c r="XW160" s="1"/>
      <c r="XX160" s="1"/>
      <c r="XY160" s="1"/>
      <c r="XZ160" s="1"/>
      <c r="YA160" s="1"/>
      <c r="YB160" s="1"/>
      <c r="YC160" s="1"/>
      <c r="YD160" s="1"/>
      <c r="YE160" s="1"/>
      <c r="YF160" s="1"/>
      <c r="YG160" s="1"/>
      <c r="YH160" s="1"/>
      <c r="YI160" s="1"/>
      <c r="YJ160" s="1"/>
      <c r="YK160" s="1"/>
      <c r="YL160" s="1"/>
      <c r="YM160" s="1"/>
      <c r="YN160" s="1"/>
      <c r="YO160" s="1"/>
      <c r="YP160" s="1"/>
      <c r="YQ160" s="1"/>
      <c r="YR160" s="1"/>
      <c r="YS160" s="1"/>
      <c r="YT160" s="1"/>
      <c r="YU160" s="1"/>
      <c r="YV160" s="1"/>
      <c r="YW160" s="1"/>
      <c r="YX160" s="1"/>
      <c r="YY160" s="1"/>
      <c r="YZ160" s="1"/>
      <c r="ZA160" s="1"/>
      <c r="ZB160" s="1"/>
      <c r="ZC160" s="1"/>
      <c r="ZD160" s="1"/>
      <c r="ZE160" s="1"/>
      <c r="ZF160" s="1"/>
      <c r="ZG160" s="1"/>
      <c r="ZH160" s="1"/>
      <c r="ZI160" s="1"/>
      <c r="ZJ160" s="1"/>
      <c r="ZK160" s="1"/>
      <c r="ZL160" s="1"/>
      <c r="ZM160" s="1"/>
      <c r="ZN160" s="1"/>
      <c r="ZO160" s="1"/>
      <c r="ZP160" s="1"/>
      <c r="ZQ160" s="1"/>
      <c r="ZR160" s="1"/>
      <c r="ZS160" s="1"/>
      <c r="ZT160" s="1"/>
      <c r="ZU160" s="1"/>
      <c r="ZV160" s="1"/>
      <c r="ZW160" s="1"/>
      <c r="ZX160" s="1"/>
      <c r="ZY160" s="1"/>
      <c r="ZZ160" s="1"/>
      <c r="AAA160" s="1"/>
      <c r="AAB160" s="1"/>
      <c r="AAC160" s="1"/>
      <c r="AAD160" s="1"/>
      <c r="AAE160" s="1"/>
      <c r="AAF160" s="1"/>
      <c r="AAG160" s="1"/>
      <c r="AAH160" s="1"/>
      <c r="AAI160" s="1"/>
      <c r="AAJ160" s="1"/>
      <c r="AAK160" s="1"/>
      <c r="AAL160" s="1"/>
      <c r="AAM160" s="1"/>
      <c r="AAN160" s="1"/>
      <c r="AAO160" s="1"/>
      <c r="AAP160" s="1"/>
      <c r="AAQ160" s="1"/>
      <c r="AAR160" s="1"/>
      <c r="AAS160" s="1"/>
      <c r="AAT160" s="1"/>
      <c r="AAU160" s="1"/>
      <c r="AAV160" s="1"/>
      <c r="AAW160" s="1"/>
      <c r="AAX160" s="1"/>
      <c r="AAY160" s="1"/>
      <c r="AAZ160" s="1"/>
      <c r="ABA160" s="1"/>
      <c r="ABB160" s="1"/>
      <c r="ABC160" s="1"/>
      <c r="ABD160" s="1"/>
      <c r="ABE160" s="1"/>
      <c r="ABF160" s="1"/>
      <c r="ABG160" s="1"/>
      <c r="ABH160" s="1"/>
      <c r="ABI160" s="1"/>
      <c r="ABJ160" s="1"/>
      <c r="ABK160" s="1"/>
      <c r="ABL160" s="1"/>
      <c r="ABM160" s="1"/>
      <c r="ABN160" s="1"/>
      <c r="ABO160" s="1"/>
      <c r="ABP160" s="1"/>
      <c r="ABQ160" s="1"/>
      <c r="ABR160" s="1"/>
      <c r="ABS160" s="1"/>
      <c r="ABT160" s="1"/>
      <c r="ABU160" s="1"/>
      <c r="ABV160" s="1"/>
      <c r="ABW160" s="1"/>
      <c r="ABX160" s="1"/>
      <c r="ABY160" s="1"/>
      <c r="ABZ160" s="1"/>
      <c r="ACA160" s="1"/>
      <c r="ACB160" s="1"/>
      <c r="ACC160" s="1"/>
      <c r="ACD160" s="1"/>
      <c r="ACE160" s="1"/>
      <c r="ACF160" s="1"/>
      <c r="ACG160" s="1"/>
      <c r="ACH160" s="1"/>
      <c r="ACI160" s="1"/>
      <c r="ACJ160" s="1"/>
      <c r="ACK160" s="1"/>
      <c r="ACL160" s="1"/>
      <c r="ACM160" s="1"/>
      <c r="ACN160" s="1"/>
      <c r="ACO160" s="1"/>
      <c r="ACP160" s="1"/>
      <c r="ACQ160" s="1"/>
      <c r="ACR160" s="1"/>
      <c r="ACS160" s="1"/>
      <c r="ACT160" s="1"/>
      <c r="ACU160" s="1"/>
      <c r="ACV160" s="1"/>
      <c r="ACW160" s="1"/>
      <c r="ACX160" s="1"/>
      <c r="ACY160" s="1"/>
      <c r="ACZ160" s="1"/>
      <c r="ADA160" s="1"/>
      <c r="ADB160" s="1"/>
      <c r="ADC160" s="1"/>
      <c r="ADD160" s="1"/>
      <c r="ADE160" s="1"/>
      <c r="ADF160" s="1"/>
      <c r="ADG160" s="1"/>
      <c r="ADH160" s="1"/>
      <c r="ADI160" s="1"/>
      <c r="ADJ160" s="1"/>
      <c r="ADK160" s="1"/>
      <c r="ADL160" s="1"/>
      <c r="ADM160" s="1"/>
      <c r="ADN160" s="1"/>
      <c r="ADO160" s="1"/>
      <c r="ADP160" s="1"/>
      <c r="ADQ160" s="1"/>
      <c r="ADR160" s="1"/>
      <c r="ADS160" s="1"/>
      <c r="ADT160" s="1"/>
      <c r="ADU160" s="1"/>
      <c r="ADV160" s="1"/>
      <c r="ADW160" s="1"/>
      <c r="ADX160" s="1"/>
      <c r="ADY160" s="1"/>
      <c r="ADZ160" s="1"/>
      <c r="AEA160" s="1"/>
      <c r="AEB160" s="1"/>
      <c r="AEC160" s="1"/>
      <c r="AED160" s="1"/>
      <c r="AEE160" s="1"/>
      <c r="AEF160" s="1"/>
      <c r="AEG160" s="1"/>
    </row>
    <row r="161" spans="1:41" s="21" customFormat="1" ht="45" x14ac:dyDescent="0.25">
      <c r="A161" s="225">
        <v>74</v>
      </c>
      <c r="B161" s="228" t="s">
        <v>66</v>
      </c>
      <c r="C161" s="47" t="s">
        <v>65</v>
      </c>
      <c r="D161" s="64" t="s">
        <v>64</v>
      </c>
      <c r="E161" s="49" t="s">
        <v>63</v>
      </c>
      <c r="F161" s="64"/>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f>SUM(G161:AE161)</f>
        <v>0</v>
      </c>
      <c r="AG161" s="33"/>
      <c r="AH161" s="33"/>
      <c r="AI161" s="33">
        <v>740</v>
      </c>
      <c r="AJ161" s="46">
        <v>57056.713437164239</v>
      </c>
      <c r="AK161" s="46">
        <v>4647.655297229463</v>
      </c>
      <c r="AL161" s="46">
        <v>61704.368734393705</v>
      </c>
      <c r="AM161" s="45" t="s">
        <v>18</v>
      </c>
    </row>
    <row r="162" spans="1:41" s="21" customFormat="1" ht="45" x14ac:dyDescent="0.25">
      <c r="A162" s="226"/>
      <c r="B162" s="207"/>
      <c r="C162" s="34" t="s">
        <v>62</v>
      </c>
      <c r="D162" s="63" t="s">
        <v>61</v>
      </c>
      <c r="E162" s="36" t="s">
        <v>60</v>
      </c>
      <c r="F162" s="63"/>
      <c r="G162" s="32"/>
      <c r="H162" s="32"/>
      <c r="I162" s="32"/>
      <c r="J162" s="32"/>
      <c r="K162" s="32"/>
      <c r="L162" s="32"/>
      <c r="M162" s="32"/>
      <c r="N162" s="32"/>
      <c r="O162" s="32"/>
      <c r="P162" s="33"/>
      <c r="Q162" s="32"/>
      <c r="R162" s="32"/>
      <c r="S162" s="32"/>
      <c r="T162" s="32"/>
      <c r="U162" s="32"/>
      <c r="V162" s="32"/>
      <c r="W162" s="32"/>
      <c r="X162" s="32"/>
      <c r="Y162" s="32"/>
      <c r="Z162" s="32"/>
      <c r="AA162" s="32"/>
      <c r="AB162" s="32"/>
      <c r="AC162" s="32"/>
      <c r="AD162" s="33"/>
      <c r="AE162" s="32"/>
      <c r="AF162" s="32">
        <f>SUM(G162:AE162)</f>
        <v>0</v>
      </c>
      <c r="AG162" s="32"/>
      <c r="AH162" s="32"/>
      <c r="AI162" s="32">
        <v>390</v>
      </c>
      <c r="AJ162" s="31">
        <v>30070.430054721695</v>
      </c>
      <c r="AK162" s="31">
        <v>2449.4399539452575</v>
      </c>
      <c r="AL162" s="31">
        <v>32519.870008666952</v>
      </c>
      <c r="AM162" s="30" t="s">
        <v>18</v>
      </c>
    </row>
    <row r="163" spans="1:41" s="21" customFormat="1" ht="60.75" thickBot="1" x14ac:dyDescent="0.3">
      <c r="A163" s="227"/>
      <c r="B163" s="208"/>
      <c r="C163" s="62" t="s">
        <v>59</v>
      </c>
      <c r="D163" s="60" t="s">
        <v>58</v>
      </c>
      <c r="E163" s="61" t="s">
        <v>57</v>
      </c>
      <c r="F163" s="60"/>
      <c r="G163" s="58"/>
      <c r="H163" s="58"/>
      <c r="I163" s="58"/>
      <c r="J163" s="58"/>
      <c r="K163" s="58"/>
      <c r="L163" s="58"/>
      <c r="M163" s="58"/>
      <c r="N163" s="58"/>
      <c r="O163" s="58"/>
      <c r="P163" s="59"/>
      <c r="Q163" s="58"/>
      <c r="R163" s="58"/>
      <c r="S163" s="58"/>
      <c r="T163" s="58"/>
      <c r="U163" s="58"/>
      <c r="V163" s="58"/>
      <c r="W163" s="58"/>
      <c r="X163" s="58"/>
      <c r="Y163" s="58"/>
      <c r="Z163" s="58"/>
      <c r="AA163" s="58"/>
      <c r="AB163" s="58"/>
      <c r="AC163" s="58"/>
      <c r="AD163" s="59"/>
      <c r="AE163" s="58"/>
      <c r="AF163" s="58">
        <f>SUM(G163:AE163)</f>
        <v>0</v>
      </c>
      <c r="AG163" s="58"/>
      <c r="AH163" s="58"/>
      <c r="AI163" s="58">
        <v>3310</v>
      </c>
      <c r="AJ163" s="57">
        <v>255213.1371310995</v>
      </c>
      <c r="AK163" s="57">
        <v>20788.836532202055</v>
      </c>
      <c r="AL163" s="57">
        <v>276001.97366330156</v>
      </c>
      <c r="AM163" s="56" t="s">
        <v>18</v>
      </c>
    </row>
    <row r="164" spans="1:41" ht="50.25" customHeight="1" thickBot="1" x14ac:dyDescent="0.3">
      <c r="A164" s="229" t="s">
        <v>56</v>
      </c>
      <c r="B164" s="230"/>
      <c r="C164" s="230"/>
      <c r="D164" s="230"/>
      <c r="E164" s="55"/>
      <c r="F164" s="54"/>
      <c r="G164" s="53"/>
      <c r="H164" s="53">
        <f>SUM(H165:H183)</f>
        <v>1875</v>
      </c>
      <c r="I164" s="53"/>
      <c r="J164" s="53">
        <f>SUM(J165:J183)</f>
        <v>2715</v>
      </c>
      <c r="K164" s="53"/>
      <c r="L164" s="53">
        <f>SUM(L165:L183)</f>
        <v>4435</v>
      </c>
      <c r="M164" s="53"/>
      <c r="N164" s="53">
        <f>SUM(N165:N183)</f>
        <v>4475</v>
      </c>
      <c r="O164" s="53"/>
      <c r="P164" s="53">
        <f>SUM(P165:P183)</f>
        <v>1985</v>
      </c>
      <c r="Q164" s="53"/>
      <c r="R164" s="53">
        <f>SUM(R165:R183)</f>
        <v>3045</v>
      </c>
      <c r="S164" s="53"/>
      <c r="T164" s="53">
        <f>SUM(T165:T183)</f>
        <v>14580</v>
      </c>
      <c r="U164" s="53"/>
      <c r="V164" s="53">
        <f>SUM(V165:V183)</f>
        <v>4065</v>
      </c>
      <c r="W164" s="53"/>
      <c r="X164" s="53">
        <f>SUM(X165:X183)</f>
        <v>930</v>
      </c>
      <c r="Y164" s="53"/>
      <c r="Z164" s="53">
        <f>SUM(Z165:Z183)</f>
        <v>1420</v>
      </c>
      <c r="AA164" s="53"/>
      <c r="AB164" s="53">
        <f>SUM(AB165:AB183)</f>
        <v>2175</v>
      </c>
      <c r="AC164" s="53"/>
      <c r="AD164" s="53">
        <f>SUM(AD165:AD183)</f>
        <v>4300</v>
      </c>
      <c r="AE164" s="53"/>
      <c r="AF164" s="52">
        <f>SUM(AF165:AF183)</f>
        <v>46000</v>
      </c>
      <c r="AG164" s="52"/>
      <c r="AH164" s="52"/>
      <c r="AI164" s="52">
        <f>SUM(AI165:AI183)</f>
        <v>51124</v>
      </c>
      <c r="AJ164" s="52">
        <f>SUM(AJ165:AJ183)</f>
        <v>6909794.9462634707</v>
      </c>
      <c r="AK164" s="52">
        <f>SUM(AK165:AK183)</f>
        <v>562849.54302770807</v>
      </c>
      <c r="AL164" s="52">
        <f>SUM(AL165:AL183)</f>
        <v>7472644.4892911799</v>
      </c>
      <c r="AM164" s="51"/>
    </row>
    <row r="165" spans="1:41" s="21" customFormat="1" ht="33.75" customHeight="1" x14ac:dyDescent="0.25">
      <c r="A165" s="202">
        <v>75</v>
      </c>
      <c r="B165" s="231" t="s">
        <v>55</v>
      </c>
      <c r="C165" s="50" t="s">
        <v>36</v>
      </c>
      <c r="D165" s="49" t="s">
        <v>54</v>
      </c>
      <c r="E165" s="48"/>
      <c r="F165" s="47"/>
      <c r="G165" s="33"/>
      <c r="H165" s="33">
        <v>900</v>
      </c>
      <c r="I165" s="33"/>
      <c r="J165" s="33">
        <v>1000</v>
      </c>
      <c r="K165" s="33"/>
      <c r="L165" s="33">
        <v>1000</v>
      </c>
      <c r="M165" s="33"/>
      <c r="N165" s="33">
        <v>1000</v>
      </c>
      <c r="O165" s="33"/>
      <c r="P165" s="33">
        <v>1000</v>
      </c>
      <c r="Q165" s="33"/>
      <c r="R165" s="33">
        <v>970</v>
      </c>
      <c r="S165" s="33"/>
      <c r="T165" s="33">
        <v>4405</v>
      </c>
      <c r="U165" s="33"/>
      <c r="V165" s="33">
        <v>1500</v>
      </c>
      <c r="W165" s="33"/>
      <c r="X165" s="33">
        <v>240</v>
      </c>
      <c r="Y165" s="33"/>
      <c r="Z165" s="33">
        <v>160</v>
      </c>
      <c r="AA165" s="33"/>
      <c r="AB165" s="33">
        <v>220</v>
      </c>
      <c r="AC165" s="33"/>
      <c r="AD165" s="33">
        <v>755</v>
      </c>
      <c r="AE165" s="33"/>
      <c r="AF165" s="33">
        <f t="shared" ref="AF165:AF183" si="41">SUM(G165:AE165)</f>
        <v>13150</v>
      </c>
      <c r="AG165" s="33"/>
      <c r="AH165" s="33"/>
      <c r="AI165" s="33">
        <v>2000</v>
      </c>
      <c r="AJ165" s="46">
        <v>1006207.7670535126</v>
      </c>
      <c r="AK165" s="46">
        <v>81962.42960628742</v>
      </c>
      <c r="AL165" s="46">
        <v>1088170.1966598001</v>
      </c>
      <c r="AM165" s="45" t="s">
        <v>18</v>
      </c>
    </row>
    <row r="166" spans="1:41" s="21" customFormat="1" ht="33.75" customHeight="1" x14ac:dyDescent="0.25">
      <c r="A166" s="181"/>
      <c r="B166" s="217"/>
      <c r="C166" s="37" t="s">
        <v>34</v>
      </c>
      <c r="D166" s="40" t="s">
        <v>53</v>
      </c>
      <c r="E166" s="35"/>
      <c r="F166" s="34"/>
      <c r="G166" s="32"/>
      <c r="H166" s="32">
        <v>400</v>
      </c>
      <c r="I166" s="32"/>
      <c r="J166" s="32">
        <v>800</v>
      </c>
      <c r="K166" s="32"/>
      <c r="L166" s="32">
        <v>800</v>
      </c>
      <c r="M166" s="32"/>
      <c r="N166" s="32">
        <v>800</v>
      </c>
      <c r="O166" s="32"/>
      <c r="P166" s="33">
        <v>725</v>
      </c>
      <c r="Q166" s="32"/>
      <c r="R166" s="32">
        <v>800</v>
      </c>
      <c r="S166" s="32"/>
      <c r="T166" s="32">
        <v>5000</v>
      </c>
      <c r="U166" s="32"/>
      <c r="V166" s="32">
        <v>930</v>
      </c>
      <c r="W166" s="32"/>
      <c r="X166" s="32">
        <v>60</v>
      </c>
      <c r="Y166" s="32"/>
      <c r="Z166" s="32">
        <v>1000</v>
      </c>
      <c r="AA166" s="32"/>
      <c r="AB166" s="32">
        <v>155</v>
      </c>
      <c r="AC166" s="32"/>
      <c r="AD166" s="33">
        <v>2290</v>
      </c>
      <c r="AE166" s="32"/>
      <c r="AF166" s="33">
        <f t="shared" si="41"/>
        <v>13760</v>
      </c>
      <c r="AG166" s="32"/>
      <c r="AH166" s="32"/>
      <c r="AI166" s="32">
        <v>6225</v>
      </c>
      <c r="AJ166" s="31">
        <v>1540118.4117715962</v>
      </c>
      <c r="AK166" s="31">
        <v>125453.0635157215</v>
      </c>
      <c r="AL166" s="31">
        <v>1665571.4752873178</v>
      </c>
      <c r="AM166" s="30" t="s">
        <v>18</v>
      </c>
    </row>
    <row r="167" spans="1:41" s="21" customFormat="1" ht="33.75" customHeight="1" x14ac:dyDescent="0.25">
      <c r="A167" s="181"/>
      <c r="B167" s="217"/>
      <c r="C167" s="37" t="s">
        <v>32</v>
      </c>
      <c r="D167" s="36" t="s">
        <v>52</v>
      </c>
      <c r="E167" s="39"/>
      <c r="F167" s="38"/>
      <c r="G167" s="32"/>
      <c r="H167" s="32">
        <v>90</v>
      </c>
      <c r="I167" s="32"/>
      <c r="J167" s="32"/>
      <c r="K167" s="32"/>
      <c r="L167" s="32">
        <v>400</v>
      </c>
      <c r="M167" s="32"/>
      <c r="N167" s="32">
        <v>340</v>
      </c>
      <c r="O167" s="32"/>
      <c r="P167" s="33">
        <v>5</v>
      </c>
      <c r="Q167" s="32"/>
      <c r="R167" s="32">
        <v>110</v>
      </c>
      <c r="S167" s="32"/>
      <c r="T167" s="32">
        <v>870</v>
      </c>
      <c r="U167" s="32"/>
      <c r="V167" s="32"/>
      <c r="W167" s="32"/>
      <c r="X167" s="32">
        <v>55</v>
      </c>
      <c r="Y167" s="32"/>
      <c r="Z167" s="32">
        <v>30</v>
      </c>
      <c r="AA167" s="32"/>
      <c r="AB167" s="32">
        <v>10</v>
      </c>
      <c r="AC167" s="32"/>
      <c r="AD167" s="33">
        <v>125</v>
      </c>
      <c r="AE167" s="32"/>
      <c r="AF167" s="33">
        <f t="shared" si="41"/>
        <v>2035</v>
      </c>
      <c r="AG167" s="32"/>
      <c r="AH167" s="32"/>
      <c r="AI167" s="32">
        <v>660</v>
      </c>
      <c r="AJ167" s="31">
        <v>164041.02662207451</v>
      </c>
      <c r="AK167" s="31">
        <v>13362.251353342865</v>
      </c>
      <c r="AL167" s="31">
        <v>177403.27797541738</v>
      </c>
      <c r="AM167" s="30" t="s">
        <v>18</v>
      </c>
    </row>
    <row r="168" spans="1:41" s="21" customFormat="1" ht="33.75" customHeight="1" x14ac:dyDescent="0.25">
      <c r="A168" s="181"/>
      <c r="B168" s="217"/>
      <c r="C168" s="37" t="s">
        <v>30</v>
      </c>
      <c r="D168" s="40" t="s">
        <v>51</v>
      </c>
      <c r="E168" s="35"/>
      <c r="F168" s="34"/>
      <c r="G168" s="32"/>
      <c r="H168" s="32">
        <v>150</v>
      </c>
      <c r="I168" s="32"/>
      <c r="J168" s="32">
        <v>325</v>
      </c>
      <c r="K168" s="32"/>
      <c r="L168" s="32">
        <v>700</v>
      </c>
      <c r="M168" s="32"/>
      <c r="N168" s="32">
        <v>560</v>
      </c>
      <c r="O168" s="32"/>
      <c r="P168" s="33">
        <v>70</v>
      </c>
      <c r="Q168" s="32"/>
      <c r="R168" s="32">
        <v>220</v>
      </c>
      <c r="S168" s="32"/>
      <c r="T168" s="32">
        <v>915</v>
      </c>
      <c r="U168" s="32"/>
      <c r="V168" s="32">
        <v>375</v>
      </c>
      <c r="W168" s="32"/>
      <c r="X168" s="32">
        <v>65</v>
      </c>
      <c r="Y168" s="32"/>
      <c r="Z168" s="32">
        <v>25</v>
      </c>
      <c r="AA168" s="32"/>
      <c r="AB168" s="32">
        <v>400</v>
      </c>
      <c r="AC168" s="32"/>
      <c r="AD168" s="33">
        <v>430</v>
      </c>
      <c r="AE168" s="32"/>
      <c r="AF168" s="33">
        <f t="shared" si="41"/>
        <v>4235</v>
      </c>
      <c r="AG168" s="32"/>
      <c r="AH168" s="32"/>
      <c r="AI168" s="32">
        <v>1800</v>
      </c>
      <c r="AJ168" s="31">
        <v>376527.78599725256</v>
      </c>
      <c r="AK168" s="31">
        <v>30670.735374049036</v>
      </c>
      <c r="AL168" s="31">
        <v>407198.52137130161</v>
      </c>
      <c r="AM168" s="30" t="s">
        <v>18</v>
      </c>
    </row>
    <row r="169" spans="1:41" s="21" customFormat="1" ht="33.75" customHeight="1" x14ac:dyDescent="0.25">
      <c r="A169" s="181"/>
      <c r="B169" s="232" t="s">
        <v>50</v>
      </c>
      <c r="C169" s="37" t="s">
        <v>49</v>
      </c>
      <c r="D169" s="44" t="s">
        <v>48</v>
      </c>
      <c r="E169" s="39"/>
      <c r="F169" s="38"/>
      <c r="G169" s="32"/>
      <c r="H169" s="32">
        <v>35</v>
      </c>
      <c r="I169" s="32"/>
      <c r="J169" s="32">
        <v>115</v>
      </c>
      <c r="K169" s="32"/>
      <c r="L169" s="32">
        <v>355</v>
      </c>
      <c r="M169" s="32"/>
      <c r="N169" s="32">
        <v>385</v>
      </c>
      <c r="O169" s="32"/>
      <c r="P169" s="33">
        <v>45</v>
      </c>
      <c r="Q169" s="32"/>
      <c r="R169" s="32">
        <v>115</v>
      </c>
      <c r="S169" s="32"/>
      <c r="T169" s="32">
        <v>355</v>
      </c>
      <c r="U169" s="32"/>
      <c r="V169" s="32">
        <v>220</v>
      </c>
      <c r="W169" s="32"/>
      <c r="X169" s="32">
        <v>105</v>
      </c>
      <c r="Y169" s="32"/>
      <c r="Z169" s="32">
        <v>60</v>
      </c>
      <c r="AA169" s="32"/>
      <c r="AB169" s="32">
        <v>100</v>
      </c>
      <c r="AC169" s="32"/>
      <c r="AD169" s="33">
        <v>135</v>
      </c>
      <c r="AE169" s="32"/>
      <c r="AF169" s="33">
        <f t="shared" si="41"/>
        <v>2025</v>
      </c>
      <c r="AG169" s="32"/>
      <c r="AH169" s="32"/>
      <c r="AI169" s="32">
        <v>545</v>
      </c>
      <c r="AJ169" s="31">
        <v>153773.85391484515</v>
      </c>
      <c r="AK169" s="31">
        <v>12525.920679076537</v>
      </c>
      <c r="AL169" s="31">
        <v>166299.7745939217</v>
      </c>
      <c r="AM169" s="30" t="s">
        <v>18</v>
      </c>
    </row>
    <row r="170" spans="1:41" s="21" customFormat="1" ht="33.75" customHeight="1" x14ac:dyDescent="0.25">
      <c r="A170" s="181"/>
      <c r="B170" s="232"/>
      <c r="C170" s="37" t="s">
        <v>47</v>
      </c>
      <c r="D170" s="44" t="s">
        <v>46</v>
      </c>
      <c r="E170" s="39"/>
      <c r="F170" s="38"/>
      <c r="G170" s="32"/>
      <c r="H170" s="32">
        <v>160</v>
      </c>
      <c r="I170" s="32"/>
      <c r="J170" s="32">
        <v>120</v>
      </c>
      <c r="K170" s="32"/>
      <c r="L170" s="32">
        <v>415</v>
      </c>
      <c r="M170" s="32"/>
      <c r="N170" s="32">
        <v>390</v>
      </c>
      <c r="O170" s="32"/>
      <c r="P170" s="33">
        <v>35</v>
      </c>
      <c r="Q170" s="32"/>
      <c r="R170" s="32">
        <v>225</v>
      </c>
      <c r="S170" s="32"/>
      <c r="T170" s="32">
        <v>420</v>
      </c>
      <c r="U170" s="32"/>
      <c r="V170" s="32">
        <v>280</v>
      </c>
      <c r="W170" s="32"/>
      <c r="X170" s="32">
        <v>155</v>
      </c>
      <c r="Y170" s="32"/>
      <c r="Z170" s="32">
        <v>60</v>
      </c>
      <c r="AA170" s="32"/>
      <c r="AB170" s="32">
        <v>150</v>
      </c>
      <c r="AC170" s="32"/>
      <c r="AD170" s="33">
        <v>75</v>
      </c>
      <c r="AE170" s="32"/>
      <c r="AF170" s="33">
        <f t="shared" si="41"/>
        <v>2485</v>
      </c>
      <c r="AG170" s="32"/>
      <c r="AH170" s="32"/>
      <c r="AI170" s="32">
        <v>890</v>
      </c>
      <c r="AJ170" s="31">
        <v>204911.54229055654</v>
      </c>
      <c r="AK170" s="31">
        <v>16691.43134293886</v>
      </c>
      <c r="AL170" s="31">
        <v>221602.97363349539</v>
      </c>
      <c r="AM170" s="30" t="s">
        <v>18</v>
      </c>
    </row>
    <row r="171" spans="1:41" s="21" customFormat="1" ht="33.75" customHeight="1" x14ac:dyDescent="0.25">
      <c r="A171" s="181"/>
      <c r="B171" s="232"/>
      <c r="C171" s="37" t="s">
        <v>45</v>
      </c>
      <c r="D171" s="44" t="s">
        <v>44</v>
      </c>
      <c r="E171" s="39"/>
      <c r="F171" s="38"/>
      <c r="G171" s="32"/>
      <c r="H171" s="32">
        <v>100</v>
      </c>
      <c r="I171" s="32"/>
      <c r="J171" s="32">
        <v>185</v>
      </c>
      <c r="K171" s="32"/>
      <c r="L171" s="32">
        <v>450</v>
      </c>
      <c r="M171" s="32"/>
      <c r="N171" s="32">
        <v>410</v>
      </c>
      <c r="O171" s="32"/>
      <c r="P171" s="33">
        <v>25</v>
      </c>
      <c r="Q171" s="32"/>
      <c r="R171" s="32">
        <v>345</v>
      </c>
      <c r="S171" s="32"/>
      <c r="T171" s="32">
        <v>1150</v>
      </c>
      <c r="U171" s="32"/>
      <c r="V171" s="32">
        <v>310</v>
      </c>
      <c r="W171" s="32"/>
      <c r="X171" s="32">
        <v>170</v>
      </c>
      <c r="Y171" s="32"/>
      <c r="Z171" s="32">
        <v>35</v>
      </c>
      <c r="AA171" s="32"/>
      <c r="AB171" s="32">
        <v>350</v>
      </c>
      <c r="AC171" s="32"/>
      <c r="AD171" s="33">
        <v>155</v>
      </c>
      <c r="AE171" s="32"/>
      <c r="AF171" s="33">
        <f t="shared" si="41"/>
        <v>3685</v>
      </c>
      <c r="AG171" s="32"/>
      <c r="AH171" s="32"/>
      <c r="AI171" s="32">
        <v>1660</v>
      </c>
      <c r="AJ171" s="31">
        <v>331844.11503393552</v>
      </c>
      <c r="AK171" s="31">
        <v>27030.948089752907</v>
      </c>
      <c r="AL171" s="31">
        <v>358875.06312368845</v>
      </c>
      <c r="AM171" s="30" t="s">
        <v>18</v>
      </c>
    </row>
    <row r="172" spans="1:41" s="21" customFormat="1" ht="33.75" customHeight="1" x14ac:dyDescent="0.25">
      <c r="A172" s="181"/>
      <c r="B172" s="218" t="s">
        <v>43</v>
      </c>
      <c r="C172" s="37" t="s">
        <v>27</v>
      </c>
      <c r="D172" s="36" t="s">
        <v>42</v>
      </c>
      <c r="E172" s="39"/>
      <c r="F172" s="38"/>
      <c r="G172" s="32"/>
      <c r="H172" s="32">
        <v>30</v>
      </c>
      <c r="I172" s="32"/>
      <c r="J172" s="32">
        <v>85</v>
      </c>
      <c r="K172" s="32"/>
      <c r="L172" s="32">
        <v>165</v>
      </c>
      <c r="M172" s="32"/>
      <c r="N172" s="32">
        <v>335</v>
      </c>
      <c r="O172" s="32"/>
      <c r="P172" s="33">
        <v>70</v>
      </c>
      <c r="Q172" s="32"/>
      <c r="R172" s="32">
        <v>155</v>
      </c>
      <c r="S172" s="32"/>
      <c r="T172" s="32">
        <v>1090</v>
      </c>
      <c r="U172" s="32"/>
      <c r="V172" s="32">
        <v>260</v>
      </c>
      <c r="W172" s="32"/>
      <c r="X172" s="32">
        <v>80</v>
      </c>
      <c r="Y172" s="32"/>
      <c r="Z172" s="32">
        <v>40</v>
      </c>
      <c r="AA172" s="32"/>
      <c r="AB172" s="32">
        <v>790</v>
      </c>
      <c r="AC172" s="32"/>
      <c r="AD172" s="33">
        <v>260</v>
      </c>
      <c r="AE172" s="32"/>
      <c r="AF172" s="33">
        <f t="shared" si="41"/>
        <v>3360</v>
      </c>
      <c r="AG172" s="32"/>
      <c r="AH172" s="32"/>
      <c r="AI172" s="32">
        <v>615</v>
      </c>
      <c r="AJ172" s="31">
        <v>229570.99778426596</v>
      </c>
      <c r="AK172" s="31">
        <v>18700.110813731546</v>
      </c>
      <c r="AL172" s="31">
        <v>248271.10859799752</v>
      </c>
      <c r="AM172" s="30" t="s">
        <v>18</v>
      </c>
    </row>
    <row r="173" spans="1:41" s="21" customFormat="1" ht="33.75" customHeight="1" x14ac:dyDescent="0.25">
      <c r="A173" s="181"/>
      <c r="B173" s="218"/>
      <c r="C173" s="37" t="s">
        <v>25</v>
      </c>
      <c r="D173" s="36" t="s">
        <v>41</v>
      </c>
      <c r="E173" s="39"/>
      <c r="F173" s="38"/>
      <c r="G173" s="32"/>
      <c r="H173" s="32"/>
      <c r="I173" s="32"/>
      <c r="J173" s="32"/>
      <c r="K173" s="32"/>
      <c r="L173" s="32"/>
      <c r="M173" s="32"/>
      <c r="N173" s="32"/>
      <c r="O173" s="32"/>
      <c r="P173" s="33"/>
      <c r="Q173" s="32"/>
      <c r="R173" s="32"/>
      <c r="S173" s="32"/>
      <c r="T173" s="32">
        <v>185</v>
      </c>
      <c r="U173" s="32"/>
      <c r="V173" s="32"/>
      <c r="W173" s="32"/>
      <c r="X173" s="32"/>
      <c r="Y173" s="32"/>
      <c r="Z173" s="32"/>
      <c r="AA173" s="32"/>
      <c r="AB173" s="32"/>
      <c r="AC173" s="32"/>
      <c r="AD173" s="33"/>
      <c r="AE173" s="32"/>
      <c r="AF173" s="33">
        <f t="shared" si="41"/>
        <v>185</v>
      </c>
      <c r="AG173" s="32"/>
      <c r="AH173" s="32"/>
      <c r="AI173" s="32">
        <v>40</v>
      </c>
      <c r="AJ173" s="31">
        <v>13211.757713621697</v>
      </c>
      <c r="AK173" s="31">
        <v>1076.1870431084176</v>
      </c>
      <c r="AL173" s="31">
        <v>14287.944756730114</v>
      </c>
      <c r="AM173" s="30" t="s">
        <v>18</v>
      </c>
    </row>
    <row r="174" spans="1:41" s="21" customFormat="1" ht="33.75" customHeight="1" x14ac:dyDescent="0.25">
      <c r="A174" s="181"/>
      <c r="B174" s="218"/>
      <c r="C174" s="37" t="s">
        <v>23</v>
      </c>
      <c r="D174" s="36" t="s">
        <v>40</v>
      </c>
      <c r="E174" s="39"/>
      <c r="F174" s="38"/>
      <c r="G174" s="32"/>
      <c r="H174" s="32"/>
      <c r="I174" s="32"/>
      <c r="J174" s="32"/>
      <c r="K174" s="32"/>
      <c r="L174" s="32"/>
      <c r="M174" s="32"/>
      <c r="N174" s="32"/>
      <c r="O174" s="32"/>
      <c r="P174" s="33"/>
      <c r="Q174" s="32"/>
      <c r="R174" s="32"/>
      <c r="S174" s="32"/>
      <c r="T174" s="32"/>
      <c r="U174" s="32"/>
      <c r="V174" s="32"/>
      <c r="W174" s="32"/>
      <c r="X174" s="32"/>
      <c r="Y174" s="32"/>
      <c r="Z174" s="32"/>
      <c r="AA174" s="32"/>
      <c r="AB174" s="32"/>
      <c r="AC174" s="32"/>
      <c r="AD174" s="33"/>
      <c r="AE174" s="32"/>
      <c r="AF174" s="33">
        <f t="shared" si="41"/>
        <v>0</v>
      </c>
      <c r="AG174" s="32"/>
      <c r="AH174" s="32"/>
      <c r="AI174" s="32">
        <v>725</v>
      </c>
      <c r="AJ174" s="31">
        <v>55900.158435059566</v>
      </c>
      <c r="AK174" s="31">
        <v>4553.4460682315685</v>
      </c>
      <c r="AL174" s="31">
        <v>60453.604503291135</v>
      </c>
      <c r="AM174" s="30" t="s">
        <v>18</v>
      </c>
    </row>
    <row r="175" spans="1:41" s="21" customFormat="1" ht="33.75" customHeight="1" x14ac:dyDescent="0.25">
      <c r="A175" s="181"/>
      <c r="B175" s="43" t="s">
        <v>39</v>
      </c>
      <c r="C175" s="37" t="s">
        <v>20</v>
      </c>
      <c r="D175" s="36" t="s">
        <v>38</v>
      </c>
      <c r="E175" s="39"/>
      <c r="F175" s="38"/>
      <c r="G175" s="32"/>
      <c r="H175" s="32">
        <v>10</v>
      </c>
      <c r="I175" s="32"/>
      <c r="J175" s="32">
        <v>85</v>
      </c>
      <c r="K175" s="32"/>
      <c r="L175" s="32">
        <v>150</v>
      </c>
      <c r="M175" s="32"/>
      <c r="N175" s="32">
        <v>255</v>
      </c>
      <c r="O175" s="32"/>
      <c r="P175" s="33">
        <v>10</v>
      </c>
      <c r="Q175" s="32"/>
      <c r="R175" s="32">
        <v>105</v>
      </c>
      <c r="S175" s="32"/>
      <c r="T175" s="32">
        <v>190</v>
      </c>
      <c r="U175" s="32"/>
      <c r="V175" s="32">
        <v>190</v>
      </c>
      <c r="W175" s="32"/>
      <c r="X175" s="32"/>
      <c r="Y175" s="32"/>
      <c r="Z175" s="32">
        <v>10</v>
      </c>
      <c r="AA175" s="32"/>
      <c r="AB175" s="32"/>
      <c r="AC175" s="32"/>
      <c r="AD175" s="33">
        <v>75</v>
      </c>
      <c r="AE175" s="32"/>
      <c r="AF175" s="33">
        <f t="shared" si="41"/>
        <v>1080</v>
      </c>
      <c r="AG175" s="32"/>
      <c r="AH175" s="32"/>
      <c r="AI175" s="32">
        <v>7700</v>
      </c>
      <c r="AJ175" s="31">
        <v>654429.49101430457</v>
      </c>
      <c r="AK175" s="31">
        <v>53307.709248368184</v>
      </c>
      <c r="AL175" s="31">
        <v>707737.20026267273</v>
      </c>
      <c r="AM175" s="30" t="s">
        <v>18</v>
      </c>
      <c r="AO175" s="42">
        <f>AI173+AI174+AI175+AI180+AI181+AI182+AI183</f>
        <v>27914</v>
      </c>
    </row>
    <row r="176" spans="1:41" s="21" customFormat="1" x14ac:dyDescent="0.25">
      <c r="A176" s="181">
        <v>76</v>
      </c>
      <c r="B176" s="217" t="s">
        <v>37</v>
      </c>
      <c r="C176" s="37" t="s">
        <v>36</v>
      </c>
      <c r="D176" s="40" t="s">
        <v>35</v>
      </c>
      <c r="E176" s="39"/>
      <c r="F176" s="38"/>
      <c r="G176" s="32"/>
      <c r="H176" s="32"/>
      <c r="I176" s="32"/>
      <c r="J176" s="32"/>
      <c r="K176" s="32"/>
      <c r="L176" s="32"/>
      <c r="M176" s="32"/>
      <c r="N176" s="32"/>
      <c r="O176" s="32"/>
      <c r="P176" s="33"/>
      <c r="Q176" s="32"/>
      <c r="R176" s="32"/>
      <c r="S176" s="32"/>
      <c r="T176" s="32"/>
      <c r="U176" s="32"/>
      <c r="V176" s="32"/>
      <c r="W176" s="32"/>
      <c r="X176" s="32"/>
      <c r="Y176" s="32"/>
      <c r="Z176" s="32"/>
      <c r="AA176" s="32"/>
      <c r="AB176" s="32"/>
      <c r="AC176" s="32"/>
      <c r="AD176" s="33"/>
      <c r="AE176" s="32"/>
      <c r="AF176" s="33">
        <f t="shared" si="41"/>
        <v>0</v>
      </c>
      <c r="AG176" s="32"/>
      <c r="AH176" s="32"/>
      <c r="AI176" s="32">
        <v>1720</v>
      </c>
      <c r="AJ176" s="31">
        <v>132618.30690800337</v>
      </c>
      <c r="AK176" s="31">
        <v>10802.658258425237</v>
      </c>
      <c r="AL176" s="31">
        <v>143420.96516642862</v>
      </c>
      <c r="AM176" s="30" t="s">
        <v>18</v>
      </c>
      <c r="AO176" s="42">
        <f>AI165+AI166+AI167+AI168+AI169+AI170+AI171+AI172+AI176+AI177+AI178+AI179</f>
        <v>23210</v>
      </c>
    </row>
    <row r="177" spans="1:41" s="21" customFormat="1" x14ac:dyDescent="0.25">
      <c r="A177" s="181"/>
      <c r="B177" s="217"/>
      <c r="C177" s="37" t="s">
        <v>34</v>
      </c>
      <c r="D177" s="40" t="s">
        <v>33</v>
      </c>
      <c r="E177" s="39"/>
      <c r="F177" s="38"/>
      <c r="G177" s="32"/>
      <c r="H177" s="32"/>
      <c r="I177" s="32"/>
      <c r="J177" s="32"/>
      <c r="K177" s="32"/>
      <c r="L177" s="32"/>
      <c r="M177" s="32"/>
      <c r="N177" s="32"/>
      <c r="O177" s="32"/>
      <c r="P177" s="33"/>
      <c r="Q177" s="32"/>
      <c r="R177" s="32"/>
      <c r="S177" s="32"/>
      <c r="T177" s="32"/>
      <c r="U177" s="32"/>
      <c r="V177" s="32"/>
      <c r="W177" s="32"/>
      <c r="X177" s="32"/>
      <c r="Y177" s="32"/>
      <c r="Z177" s="32"/>
      <c r="AA177" s="32"/>
      <c r="AB177" s="32"/>
      <c r="AC177" s="32"/>
      <c r="AD177" s="33"/>
      <c r="AE177" s="32"/>
      <c r="AF177" s="33">
        <f t="shared" si="41"/>
        <v>0</v>
      </c>
      <c r="AG177" s="32"/>
      <c r="AH177" s="32"/>
      <c r="AI177" s="32">
        <v>4370</v>
      </c>
      <c r="AJ177" s="31">
        <v>336943.02394649695</v>
      </c>
      <c r="AK177" s="31">
        <v>27446.288714719936</v>
      </c>
      <c r="AL177" s="31">
        <v>364389.31266121689</v>
      </c>
      <c r="AM177" s="30" t="s">
        <v>18</v>
      </c>
      <c r="AO177" s="41"/>
    </row>
    <row r="178" spans="1:41" s="21" customFormat="1" x14ac:dyDescent="0.25">
      <c r="A178" s="181"/>
      <c r="B178" s="217"/>
      <c r="C178" s="37" t="s">
        <v>32</v>
      </c>
      <c r="D178" s="36" t="s">
        <v>31</v>
      </c>
      <c r="E178" s="39"/>
      <c r="F178" s="38"/>
      <c r="G178" s="32"/>
      <c r="H178" s="32"/>
      <c r="I178" s="32"/>
      <c r="J178" s="32"/>
      <c r="K178" s="32"/>
      <c r="L178" s="32"/>
      <c r="M178" s="32"/>
      <c r="N178" s="32"/>
      <c r="O178" s="32"/>
      <c r="P178" s="33"/>
      <c r="Q178" s="32"/>
      <c r="R178" s="32"/>
      <c r="S178" s="32"/>
      <c r="T178" s="32"/>
      <c r="U178" s="32"/>
      <c r="V178" s="32"/>
      <c r="W178" s="32"/>
      <c r="X178" s="32"/>
      <c r="Y178" s="32"/>
      <c r="Z178" s="32"/>
      <c r="AA178" s="32"/>
      <c r="AB178" s="32"/>
      <c r="AC178" s="32"/>
      <c r="AD178" s="33"/>
      <c r="AE178" s="32"/>
      <c r="AF178" s="33">
        <f t="shared" si="41"/>
        <v>0</v>
      </c>
      <c r="AG178" s="32"/>
      <c r="AH178" s="32"/>
      <c r="AI178" s="32">
        <v>2245</v>
      </c>
      <c r="AJ178" s="31">
        <v>173097.73198166717</v>
      </c>
      <c r="AK178" s="31">
        <v>14099.981273351545</v>
      </c>
      <c r="AL178" s="31">
        <v>187197.71325501872</v>
      </c>
      <c r="AM178" s="30" t="s">
        <v>18</v>
      </c>
    </row>
    <row r="179" spans="1:41" s="21" customFormat="1" x14ac:dyDescent="0.25">
      <c r="A179" s="181"/>
      <c r="B179" s="217"/>
      <c r="C179" s="37" t="s">
        <v>30</v>
      </c>
      <c r="D179" s="40" t="s">
        <v>29</v>
      </c>
      <c r="E179" s="39"/>
      <c r="F179" s="38"/>
      <c r="G179" s="32"/>
      <c r="H179" s="32"/>
      <c r="I179" s="32"/>
      <c r="J179" s="32"/>
      <c r="K179" s="32"/>
      <c r="L179" s="32"/>
      <c r="M179" s="32"/>
      <c r="N179" s="32"/>
      <c r="O179" s="32"/>
      <c r="P179" s="33"/>
      <c r="Q179" s="32"/>
      <c r="R179" s="32"/>
      <c r="S179" s="32"/>
      <c r="T179" s="32"/>
      <c r="U179" s="32"/>
      <c r="V179" s="32"/>
      <c r="W179" s="32"/>
      <c r="X179" s="32"/>
      <c r="Y179" s="32"/>
      <c r="Z179" s="32"/>
      <c r="AA179" s="32"/>
      <c r="AB179" s="32"/>
      <c r="AC179" s="32"/>
      <c r="AD179" s="33"/>
      <c r="AE179" s="32"/>
      <c r="AF179" s="33">
        <f t="shared" si="41"/>
        <v>0</v>
      </c>
      <c r="AG179" s="32"/>
      <c r="AH179" s="32"/>
      <c r="AI179" s="32">
        <v>480</v>
      </c>
      <c r="AJ179" s="31">
        <v>37009.76006734978</v>
      </c>
      <c r="AK179" s="31">
        <v>3014.6953279326244</v>
      </c>
      <c r="AL179" s="31">
        <v>40024.455395282406</v>
      </c>
      <c r="AM179" s="30" t="s">
        <v>18</v>
      </c>
    </row>
    <row r="180" spans="1:41" s="21" customFormat="1" x14ac:dyDescent="0.25">
      <c r="A180" s="181"/>
      <c r="B180" s="218" t="s">
        <v>28</v>
      </c>
      <c r="C180" s="37" t="s">
        <v>27</v>
      </c>
      <c r="D180" s="36" t="s">
        <v>26</v>
      </c>
      <c r="E180" s="39"/>
      <c r="F180" s="38"/>
      <c r="G180" s="32"/>
      <c r="H180" s="32"/>
      <c r="I180" s="32"/>
      <c r="J180" s="32"/>
      <c r="K180" s="32"/>
      <c r="L180" s="32"/>
      <c r="M180" s="32"/>
      <c r="N180" s="32"/>
      <c r="O180" s="32"/>
      <c r="P180" s="33"/>
      <c r="Q180" s="32"/>
      <c r="R180" s="32"/>
      <c r="S180" s="32"/>
      <c r="T180" s="32"/>
      <c r="U180" s="32"/>
      <c r="V180" s="32"/>
      <c r="W180" s="32"/>
      <c r="X180" s="32"/>
      <c r="Y180" s="32"/>
      <c r="Z180" s="32"/>
      <c r="AA180" s="32"/>
      <c r="AB180" s="32"/>
      <c r="AC180" s="32"/>
      <c r="AD180" s="33"/>
      <c r="AE180" s="32"/>
      <c r="AF180" s="33">
        <f t="shared" si="41"/>
        <v>0</v>
      </c>
      <c r="AG180" s="32"/>
      <c r="AH180" s="32"/>
      <c r="AI180" s="32">
        <v>3650</v>
      </c>
      <c r="AJ180" s="31">
        <v>281428.3838454723</v>
      </c>
      <c r="AK180" s="31">
        <v>22924.245722820997</v>
      </c>
      <c r="AL180" s="31">
        <v>304352.62956829328</v>
      </c>
      <c r="AM180" s="30" t="s">
        <v>18</v>
      </c>
    </row>
    <row r="181" spans="1:41" s="21" customFormat="1" x14ac:dyDescent="0.25">
      <c r="A181" s="181"/>
      <c r="B181" s="218"/>
      <c r="C181" s="37" t="s">
        <v>25</v>
      </c>
      <c r="D181" s="36" t="s">
        <v>24</v>
      </c>
      <c r="E181" s="39"/>
      <c r="F181" s="38"/>
      <c r="G181" s="32"/>
      <c r="H181" s="32"/>
      <c r="I181" s="32"/>
      <c r="J181" s="32"/>
      <c r="K181" s="32"/>
      <c r="L181" s="32"/>
      <c r="M181" s="32"/>
      <c r="N181" s="32"/>
      <c r="O181" s="32"/>
      <c r="P181" s="33"/>
      <c r="Q181" s="32"/>
      <c r="R181" s="32"/>
      <c r="S181" s="32"/>
      <c r="T181" s="32"/>
      <c r="U181" s="32"/>
      <c r="V181" s="32"/>
      <c r="W181" s="32"/>
      <c r="X181" s="32"/>
      <c r="Y181" s="32"/>
      <c r="Z181" s="32"/>
      <c r="AA181" s="32"/>
      <c r="AB181" s="32"/>
      <c r="AC181" s="32"/>
      <c r="AD181" s="33"/>
      <c r="AE181" s="32"/>
      <c r="AF181" s="33">
        <f t="shared" si="41"/>
        <v>0</v>
      </c>
      <c r="AG181" s="32"/>
      <c r="AH181" s="32"/>
      <c r="AI181" s="32">
        <v>465</v>
      </c>
      <c r="AJ181" s="31">
        <v>35853.2050652451</v>
      </c>
      <c r="AK181" s="31">
        <v>2920.4860989347299</v>
      </c>
      <c r="AL181" s="31">
        <v>38773.691164179829</v>
      </c>
      <c r="AM181" s="30" t="s">
        <v>18</v>
      </c>
    </row>
    <row r="182" spans="1:41" s="21" customFormat="1" x14ac:dyDescent="0.25">
      <c r="A182" s="181"/>
      <c r="B182" s="218"/>
      <c r="C182" s="37" t="s">
        <v>23</v>
      </c>
      <c r="D182" s="36" t="s">
        <v>22</v>
      </c>
      <c r="E182" s="35"/>
      <c r="F182" s="34"/>
      <c r="G182" s="32"/>
      <c r="H182" s="32"/>
      <c r="I182" s="32"/>
      <c r="J182" s="32"/>
      <c r="K182" s="32"/>
      <c r="L182" s="32"/>
      <c r="M182" s="32"/>
      <c r="N182" s="32"/>
      <c r="O182" s="32"/>
      <c r="P182" s="33"/>
      <c r="Q182" s="32"/>
      <c r="R182" s="32"/>
      <c r="S182" s="32"/>
      <c r="T182" s="32"/>
      <c r="U182" s="32"/>
      <c r="V182" s="32"/>
      <c r="W182" s="32"/>
      <c r="X182" s="32"/>
      <c r="Y182" s="32"/>
      <c r="Z182" s="32"/>
      <c r="AA182" s="32"/>
      <c r="AB182" s="32"/>
      <c r="AC182" s="32"/>
      <c r="AD182" s="33"/>
      <c r="AE182" s="32"/>
      <c r="AF182" s="33">
        <f t="shared" si="41"/>
        <v>0</v>
      </c>
      <c r="AG182" s="32"/>
      <c r="AH182" s="32"/>
      <c r="AI182" s="32">
        <v>640</v>
      </c>
      <c r="AJ182" s="31">
        <v>49346.346756466373</v>
      </c>
      <c r="AK182" s="31">
        <v>4019.5937705768329</v>
      </c>
      <c r="AL182" s="31">
        <v>53365.940527043203</v>
      </c>
      <c r="AM182" s="30" t="s">
        <v>18</v>
      </c>
    </row>
    <row r="183" spans="1:41" s="21" customFormat="1" ht="30.75" thickBot="1" x14ac:dyDescent="0.3">
      <c r="A183" s="216"/>
      <c r="B183" s="29" t="s">
        <v>21</v>
      </c>
      <c r="C183" s="28" t="s">
        <v>20</v>
      </c>
      <c r="D183" s="27" t="s">
        <v>19</v>
      </c>
      <c r="E183" s="26"/>
      <c r="F183" s="25"/>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f t="shared" si="41"/>
        <v>0</v>
      </c>
      <c r="AG183" s="24"/>
      <c r="AH183" s="24"/>
      <c r="AI183" s="24">
        <v>14694</v>
      </c>
      <c r="AJ183" s="23">
        <v>1132961.2800617453</v>
      </c>
      <c r="AK183" s="23">
        <v>92287.360726337472</v>
      </c>
      <c r="AL183" s="23">
        <v>1225248.6407880827</v>
      </c>
      <c r="AM183" s="22" t="s">
        <v>18</v>
      </c>
    </row>
    <row r="184" spans="1:41" x14ac:dyDescent="0.25">
      <c r="A184" s="18"/>
      <c r="B184" s="19"/>
      <c r="C184" s="20"/>
      <c r="D184" s="19"/>
      <c r="P184" s="9"/>
      <c r="AD184" s="9"/>
    </row>
    <row r="185" spans="1:41" x14ac:dyDescent="0.25">
      <c r="A185" s="18"/>
      <c r="B185" s="14" t="s">
        <v>17</v>
      </c>
      <c r="C185" s="11" t="s">
        <v>9</v>
      </c>
      <c r="D185" s="19"/>
      <c r="F185" s="177" t="s">
        <v>16</v>
      </c>
      <c r="G185" s="177"/>
      <c r="H185" s="2">
        <v>1</v>
      </c>
      <c r="J185" s="2">
        <v>2</v>
      </c>
      <c r="L185" s="2">
        <v>3</v>
      </c>
      <c r="N185" s="2">
        <v>4</v>
      </c>
      <c r="P185" s="9">
        <v>5</v>
      </c>
      <c r="R185" s="2">
        <v>6</v>
      </c>
      <c r="T185" s="2">
        <v>7</v>
      </c>
      <c r="V185" s="2">
        <v>8</v>
      </c>
      <c r="X185" s="2">
        <v>9</v>
      </c>
      <c r="Z185" s="2">
        <v>10</v>
      </c>
      <c r="AB185" s="2">
        <v>11</v>
      </c>
      <c r="AD185" s="9">
        <v>12</v>
      </c>
      <c r="AE185" s="2">
        <v>77</v>
      </c>
      <c r="AF185" s="2" t="s">
        <v>15</v>
      </c>
      <c r="AI185" s="2" t="s">
        <v>14</v>
      </c>
      <c r="AJ185" s="3" t="s">
        <v>13</v>
      </c>
      <c r="AK185" s="3" t="s">
        <v>12</v>
      </c>
      <c r="AL185" s="3" t="s">
        <v>11</v>
      </c>
    </row>
    <row r="186" spans="1:41" x14ac:dyDescent="0.25">
      <c r="A186" s="18"/>
      <c r="B186" s="14" t="s">
        <v>10</v>
      </c>
      <c r="C186" s="11" t="s">
        <v>5</v>
      </c>
      <c r="D186" s="10" t="s">
        <v>9</v>
      </c>
      <c r="F186" s="177" t="s">
        <v>8</v>
      </c>
      <c r="G186" s="177"/>
      <c r="H186" s="4">
        <f>H5+H57+H74+H90+H116+H130+H145+H153+H160+H164</f>
        <v>14159</v>
      </c>
      <c r="I186" s="4"/>
      <c r="J186" s="4">
        <f>J5+J57+J74+J90+J116+J130+J145+J153+J160+J164</f>
        <v>17555</v>
      </c>
      <c r="K186" s="4"/>
      <c r="L186" s="4">
        <f>L5+L57+L74+L90+L116+L130+L145+L153+L160+L164</f>
        <v>35230</v>
      </c>
      <c r="M186" s="4"/>
      <c r="N186" s="4">
        <f>N5+N57+N74+N90+N116+N130+N145+N153+N160+N164</f>
        <v>58075</v>
      </c>
      <c r="O186" s="4"/>
      <c r="P186" s="4">
        <f>P5+P57+P74+P90+P116+P130+P145+P153+P160+P164</f>
        <v>19325</v>
      </c>
      <c r="Q186" s="4"/>
      <c r="R186" s="4">
        <f>R5+R57+R74+R90+R116+R130+R145+R153+R160+R164</f>
        <v>38710</v>
      </c>
      <c r="S186" s="4"/>
      <c r="T186" s="4">
        <f>T5+T57+T74+T90+T116+T130+T145+T153+T160+T164</f>
        <v>68320</v>
      </c>
      <c r="U186" s="4"/>
      <c r="V186" s="4">
        <f>V5+V57+V74+V90+V116+V130+V145+V153+V160+V164</f>
        <v>24660</v>
      </c>
      <c r="W186" s="4"/>
      <c r="X186" s="4">
        <f>X5+X57+X74+X90+X116+X130+X145+X153+X160+X164</f>
        <v>7095</v>
      </c>
      <c r="Y186" s="4"/>
      <c r="Z186" s="4">
        <f>Z5+Z57+Z74+Z90+Z116+Z130+Z145+Z153+Z160+Z164</f>
        <v>30120</v>
      </c>
      <c r="AA186" s="4"/>
      <c r="AB186" s="4">
        <f>AB5+AB57+AB74+AB90+AB116+AB130+AB145+AB153+AB160+AB164</f>
        <v>21320</v>
      </c>
      <c r="AC186" s="4"/>
      <c r="AD186" s="4">
        <f>AD5+AD57+AD74+AD90+AD116+AD130+AD145+AD153+AD160+AD164</f>
        <v>21295</v>
      </c>
      <c r="AE186" s="4">
        <f>AE5+AE57+AE74+AE90+AE116+AE130+AE145+AE153+AE160+AE164</f>
        <v>7032</v>
      </c>
      <c r="AF186" s="4">
        <f>SUM(H186:AE186)</f>
        <v>362896</v>
      </c>
      <c r="AH186" s="4" t="s">
        <v>7</v>
      </c>
      <c r="AI186" s="4">
        <f>AI5+AI57+AI74+AI90+AI116+AI130+AI145+AI153+AI160+AI164</f>
        <v>180938</v>
      </c>
      <c r="AJ186" s="3">
        <v>33339408.925223101</v>
      </c>
      <c r="AK186" s="3">
        <v>2706156.051678468</v>
      </c>
      <c r="AL186" s="3">
        <v>36045564.976901561</v>
      </c>
      <c r="AM186" s="17"/>
    </row>
    <row r="187" spans="1:41" hidden="1" x14ac:dyDescent="0.25">
      <c r="B187" s="14"/>
      <c r="C187" s="11"/>
      <c r="D187" s="10"/>
      <c r="F187" s="177"/>
      <c r="G187" s="177"/>
      <c r="H187" s="15">
        <f>H186/1758</f>
        <v>8.0540386803185431</v>
      </c>
      <c r="I187" s="15"/>
      <c r="J187" s="15">
        <f>J186/1758</f>
        <v>9.9857792946530139</v>
      </c>
      <c r="K187" s="15"/>
      <c r="L187" s="16">
        <f>L186/1758</f>
        <v>20.039817974971559</v>
      </c>
      <c r="M187" s="16"/>
      <c r="N187" s="16">
        <f>N186/1758</f>
        <v>33.034698521046643</v>
      </c>
      <c r="O187" s="16"/>
      <c r="P187" s="16">
        <f>P186/1758</f>
        <v>10.992605233219567</v>
      </c>
      <c r="Q187" s="16"/>
      <c r="R187" s="16">
        <f>R186/1758</f>
        <v>22.019340159271898</v>
      </c>
      <c r="S187" s="16"/>
      <c r="T187" s="16">
        <f>T186/1758</f>
        <v>38.86234357224118</v>
      </c>
      <c r="U187" s="16"/>
      <c r="V187" s="16">
        <f>V186/1758</f>
        <v>14.027303754266212</v>
      </c>
      <c r="W187" s="16"/>
      <c r="X187" s="16">
        <f>X186/1758</f>
        <v>4.0358361774744029</v>
      </c>
      <c r="Y187" s="16"/>
      <c r="Z187" s="16">
        <f>Z186/1758</f>
        <v>17.133105802047783</v>
      </c>
      <c r="AA187" s="16"/>
      <c r="AB187" s="16">
        <f>AB186/1758</f>
        <v>12.127417519908988</v>
      </c>
      <c r="AC187" s="15"/>
      <c r="AD187" s="15">
        <f>AD186/1758</f>
        <v>12.113196814562002</v>
      </c>
      <c r="AE187" s="15">
        <f>AE186/1758</f>
        <v>4</v>
      </c>
      <c r="AF187" s="15">
        <f>AF186/1758</f>
        <v>206.42548350398181</v>
      </c>
      <c r="AI187" s="15">
        <f>AI186/1758</f>
        <v>102.92263936291241</v>
      </c>
    </row>
    <row r="188" spans="1:41" x14ac:dyDescent="0.25">
      <c r="B188" s="14" t="s">
        <v>6</v>
      </c>
      <c r="C188" s="11" t="s">
        <v>1</v>
      </c>
      <c r="D188" s="10" t="s">
        <v>5</v>
      </c>
      <c r="F188" s="176" t="s">
        <v>4</v>
      </c>
      <c r="G188" s="176"/>
      <c r="H188" s="12">
        <v>8</v>
      </c>
      <c r="I188" s="12"/>
      <c r="J188" s="12">
        <v>10</v>
      </c>
      <c r="K188" s="12"/>
      <c r="L188" s="12">
        <v>20</v>
      </c>
      <c r="M188" s="12"/>
      <c r="N188" s="12">
        <v>33</v>
      </c>
      <c r="O188" s="12"/>
      <c r="P188" s="9">
        <v>11</v>
      </c>
      <c r="Q188" s="12"/>
      <c r="R188" s="12">
        <v>22</v>
      </c>
      <c r="S188" s="12"/>
      <c r="T188" s="12">
        <v>39</v>
      </c>
      <c r="U188" s="12"/>
      <c r="V188" s="12">
        <v>14</v>
      </c>
      <c r="W188" s="12"/>
      <c r="X188" s="12">
        <v>4</v>
      </c>
      <c r="Y188" s="12"/>
      <c r="Z188" s="12">
        <v>17</v>
      </c>
      <c r="AA188" s="12"/>
      <c r="AB188" s="12">
        <v>12</v>
      </c>
      <c r="AC188" s="12"/>
      <c r="AD188" s="13">
        <v>12</v>
      </c>
      <c r="AE188" s="12">
        <v>4</v>
      </c>
      <c r="AF188" s="4">
        <f>SUM(H188:AE188)</f>
        <v>206</v>
      </c>
      <c r="AH188" s="4" t="s">
        <v>3</v>
      </c>
      <c r="AI188" s="4">
        <v>103</v>
      </c>
    </row>
    <row r="189" spans="1:41" x14ac:dyDescent="0.25">
      <c r="B189" s="10" t="s">
        <v>2</v>
      </c>
      <c r="C189" s="11" t="s">
        <v>0</v>
      </c>
      <c r="D189" s="10" t="s">
        <v>1</v>
      </c>
      <c r="P189" s="9"/>
      <c r="AD189" s="9"/>
    </row>
    <row r="190" spans="1:41" x14ac:dyDescent="0.25">
      <c r="B190" s="6"/>
      <c r="D190" s="10" t="s">
        <v>0</v>
      </c>
      <c r="P190" s="9"/>
      <c r="AD190" s="9"/>
    </row>
    <row r="194" spans="1:39" x14ac:dyDescent="0.25">
      <c r="A194" s="1"/>
      <c r="B194" s="1"/>
      <c r="C194" s="1"/>
      <c r="D194" s="7"/>
    </row>
    <row r="195" spans="1:39" x14ac:dyDescent="0.25">
      <c r="A195" s="1"/>
      <c r="B195" s="1"/>
      <c r="C195" s="1"/>
      <c r="D195" s="7"/>
      <c r="AM195" s="3"/>
    </row>
    <row r="196" spans="1:39" x14ac:dyDescent="0.25">
      <c r="A196" s="1"/>
      <c r="B196" s="1"/>
      <c r="C196" s="1"/>
      <c r="D196" s="7"/>
    </row>
    <row r="197" spans="1:39" x14ac:dyDescent="0.25">
      <c r="A197" s="1"/>
      <c r="B197" s="1"/>
      <c r="C197" s="1"/>
      <c r="D197" s="7"/>
    </row>
    <row r="198" spans="1:39" x14ac:dyDescent="0.25">
      <c r="A198" s="1"/>
      <c r="B198" s="1"/>
      <c r="C198" s="1"/>
      <c r="D198" s="7"/>
    </row>
    <row r="199" spans="1:39" x14ac:dyDescent="0.25">
      <c r="A199" s="1"/>
      <c r="B199" s="1"/>
      <c r="C199" s="1"/>
      <c r="D199" s="7"/>
    </row>
    <row r="200" spans="1:39" x14ac:dyDescent="0.25">
      <c r="A200" s="1"/>
      <c r="B200" s="1"/>
      <c r="C200" s="1"/>
      <c r="D200" s="7"/>
    </row>
    <row r="201" spans="1:39" x14ac:dyDescent="0.25">
      <c r="A201" s="1"/>
      <c r="B201" s="1"/>
      <c r="C201" s="1"/>
      <c r="D201" s="7"/>
    </row>
    <row r="202" spans="1:39" x14ac:dyDescent="0.25">
      <c r="A202" s="1"/>
      <c r="B202" s="1"/>
      <c r="C202" s="1"/>
      <c r="D202" s="7"/>
    </row>
    <row r="203" spans="1:39" x14ac:dyDescent="0.25">
      <c r="A203" s="1"/>
      <c r="B203" s="1"/>
      <c r="C203" s="1"/>
      <c r="D203" s="7"/>
    </row>
    <row r="204" spans="1:39" x14ac:dyDescent="0.25">
      <c r="A204" s="1"/>
      <c r="B204" s="1"/>
      <c r="C204" s="1"/>
      <c r="D204" s="7"/>
    </row>
    <row r="205" spans="1:39" x14ac:dyDescent="0.25">
      <c r="A205" s="1"/>
      <c r="B205" s="1"/>
      <c r="C205" s="1"/>
      <c r="D205" s="7"/>
    </row>
    <row r="206" spans="1:39" x14ac:dyDescent="0.25">
      <c r="A206" s="1"/>
      <c r="B206" s="1"/>
      <c r="C206" s="1"/>
      <c r="D206" s="7"/>
    </row>
    <row r="207" spans="1:39" x14ac:dyDescent="0.25">
      <c r="A207" s="1"/>
      <c r="B207" s="1"/>
      <c r="C207" s="1"/>
      <c r="D207" s="7"/>
    </row>
    <row r="208" spans="1:39" x14ac:dyDescent="0.25">
      <c r="A208" s="1"/>
      <c r="B208" s="1"/>
      <c r="C208" s="1"/>
      <c r="D208" s="7"/>
    </row>
    <row r="209" spans="1:39" x14ac:dyDescent="0.25">
      <c r="A209" s="1"/>
      <c r="B209" s="1"/>
      <c r="C209" s="1"/>
      <c r="D209" s="7"/>
    </row>
    <row r="210" spans="1:39" x14ac:dyDescent="0.25">
      <c r="A210" s="1"/>
      <c r="B210" s="1"/>
      <c r="C210" s="1"/>
      <c r="D210" s="7"/>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x14ac:dyDescent="0.25">
      <c r="A211" s="1"/>
      <c r="B211" s="1"/>
      <c r="C211" s="1"/>
      <c r="D211" s="7"/>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x14ac:dyDescent="0.25">
      <c r="A212" s="1"/>
      <c r="B212" s="1"/>
      <c r="C212" s="1"/>
      <c r="D212" s="7"/>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x14ac:dyDescent="0.25">
      <c r="A213" s="1"/>
      <c r="B213" s="1"/>
      <c r="C213" s="1"/>
      <c r="D213" s="7"/>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x14ac:dyDescent="0.25">
      <c r="A214" s="1"/>
      <c r="B214" s="1"/>
      <c r="C214" s="1"/>
      <c r="D214" s="7"/>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x14ac:dyDescent="0.25">
      <c r="A215" s="1"/>
      <c r="B215" s="1"/>
      <c r="C215" s="1"/>
      <c r="D215" s="7"/>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x14ac:dyDescent="0.25">
      <c r="A216" s="1"/>
      <c r="B216" s="1"/>
      <c r="C216" s="1"/>
      <c r="D216" s="7"/>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sheetData>
  <mergeCells count="250">
    <mergeCell ref="I110:I114"/>
    <mergeCell ref="A108:A109"/>
    <mergeCell ref="B108:B109"/>
    <mergeCell ref="A110:A114"/>
    <mergeCell ref="B110:B114"/>
    <mergeCell ref="A134:A135"/>
    <mergeCell ref="B134:B135"/>
    <mergeCell ref="A102:A103"/>
    <mergeCell ref="B102:B103"/>
    <mergeCell ref="F110:F114"/>
    <mergeCell ref="G110:G114"/>
    <mergeCell ref="B136:B137"/>
    <mergeCell ref="A116:D116"/>
    <mergeCell ref="A120:A123"/>
    <mergeCell ref="B120:B123"/>
    <mergeCell ref="A130:D130"/>
    <mergeCell ref="AM12:AM13"/>
    <mergeCell ref="Z98:Z99"/>
    <mergeCell ref="V98:V99"/>
    <mergeCell ref="X98:X99"/>
    <mergeCell ref="AF12:AF13"/>
    <mergeCell ref="AI12:AI13"/>
    <mergeCell ref="AJ12:AJ13"/>
    <mergeCell ref="AK12:AK13"/>
    <mergeCell ref="AL12:AL13"/>
    <mergeCell ref="AK93:AK94"/>
    <mergeCell ref="AJ98:AJ99"/>
    <mergeCell ref="AI93:AI94"/>
    <mergeCell ref="AM98:AM99"/>
    <mergeCell ref="AM93:AM94"/>
    <mergeCell ref="AK98:AK99"/>
    <mergeCell ref="AL98:AL99"/>
    <mergeCell ref="AL93:AL94"/>
    <mergeCell ref="AG98:AG99"/>
    <mergeCell ref="H110:H114"/>
    <mergeCell ref="AJ93:AJ94"/>
    <mergeCell ref="A176:A183"/>
    <mergeCell ref="B176:B179"/>
    <mergeCell ref="B180:B182"/>
    <mergeCell ref="A145:D145"/>
    <mergeCell ref="A153:D153"/>
    <mergeCell ref="A154:A159"/>
    <mergeCell ref="A160:D160"/>
    <mergeCell ref="A161:A163"/>
    <mergeCell ref="B161:B163"/>
    <mergeCell ref="A164:D164"/>
    <mergeCell ref="A165:A175"/>
    <mergeCell ref="B165:B168"/>
    <mergeCell ref="B169:B171"/>
    <mergeCell ref="B172:B174"/>
    <mergeCell ref="A106:A107"/>
    <mergeCell ref="B106:B107"/>
    <mergeCell ref="T102:T103"/>
    <mergeCell ref="V102:V103"/>
    <mergeCell ref="F106:F107"/>
    <mergeCell ref="G106:G107"/>
    <mergeCell ref="H106:H107"/>
    <mergeCell ref="I106:I107"/>
    <mergeCell ref="A136:A137"/>
    <mergeCell ref="AM110:AM114"/>
    <mergeCell ref="AB110:AB114"/>
    <mergeCell ref="AD110:AD114"/>
    <mergeCell ref="AE110:AE114"/>
    <mergeCell ref="L110:L114"/>
    <mergeCell ref="N110:N114"/>
    <mergeCell ref="AI110:AI114"/>
    <mergeCell ref="P110:P114"/>
    <mergeCell ref="T110:T114"/>
    <mergeCell ref="AJ110:AJ114"/>
    <mergeCell ref="AL110:AL114"/>
    <mergeCell ref="Q110:Q114"/>
    <mergeCell ref="R110:R114"/>
    <mergeCell ref="S110:S114"/>
    <mergeCell ref="AH110:AH114"/>
    <mergeCell ref="AG110:AG114"/>
    <mergeCell ref="V110:V114"/>
    <mergeCell ref="X110:X114"/>
    <mergeCell ref="Z110:Z114"/>
    <mergeCell ref="AF110:AF114"/>
    <mergeCell ref="AK110:AK114"/>
    <mergeCell ref="J106:J107"/>
    <mergeCell ref="M93:M94"/>
    <mergeCell ref="N93:N94"/>
    <mergeCell ref="F93:F94"/>
    <mergeCell ref="AG93:AG94"/>
    <mergeCell ref="AH93:AH94"/>
    <mergeCell ref="Y93:Y94"/>
    <mergeCell ref="O93:O94"/>
    <mergeCell ref="P93:P94"/>
    <mergeCell ref="Q93:Q94"/>
    <mergeCell ref="R93:R94"/>
    <mergeCell ref="S93:S94"/>
    <mergeCell ref="H93:H94"/>
    <mergeCell ref="AF93:AF94"/>
    <mergeCell ref="T93:T94"/>
    <mergeCell ref="V93:V94"/>
    <mergeCell ref="X93:X94"/>
    <mergeCell ref="Z93:Z94"/>
    <mergeCell ref="AB93:AB94"/>
    <mergeCell ref="AD93:AD94"/>
    <mergeCell ref="AE93:AE94"/>
    <mergeCell ref="L98:L99"/>
    <mergeCell ref="N98:N99"/>
    <mergeCell ref="H98:H99"/>
    <mergeCell ref="A75:A80"/>
    <mergeCell ref="A19:A22"/>
    <mergeCell ref="B19:B22"/>
    <mergeCell ref="A23:A26"/>
    <mergeCell ref="B23:B26"/>
    <mergeCell ref="I93:I94"/>
    <mergeCell ref="J93:J94"/>
    <mergeCell ref="K93:K94"/>
    <mergeCell ref="L93:L94"/>
    <mergeCell ref="A55:A56"/>
    <mergeCell ref="A74:D74"/>
    <mergeCell ref="B55:B56"/>
    <mergeCell ref="A57:D57"/>
    <mergeCell ref="A90:D90"/>
    <mergeCell ref="A5:D5"/>
    <mergeCell ref="A50:A51"/>
    <mergeCell ref="B50:B51"/>
    <mergeCell ref="A69:A73"/>
    <mergeCell ref="B69:B73"/>
    <mergeCell ref="B98:B99"/>
    <mergeCell ref="A93:A94"/>
    <mergeCell ref="AM3:AM4"/>
    <mergeCell ref="A2:AM2"/>
    <mergeCell ref="A3:A4"/>
    <mergeCell ref="B3:B4"/>
    <mergeCell ref="C3:C4"/>
    <mergeCell ref="D3:D4"/>
    <mergeCell ref="E3:E4"/>
    <mergeCell ref="AJ3:AK3"/>
    <mergeCell ref="AL3:AL4"/>
    <mergeCell ref="G3:AF3"/>
    <mergeCell ref="A44:A46"/>
    <mergeCell ref="B44:B46"/>
    <mergeCell ref="A47:A49"/>
    <mergeCell ref="B47:B49"/>
    <mergeCell ref="A6:A11"/>
    <mergeCell ref="B6:B11"/>
    <mergeCell ref="A12:A13"/>
    <mergeCell ref="B12:B13"/>
    <mergeCell ref="A81:A85"/>
    <mergeCell ref="A86:A89"/>
    <mergeCell ref="B86:B87"/>
    <mergeCell ref="B88:B89"/>
    <mergeCell ref="B93:B94"/>
    <mergeCell ref="G93:G94"/>
    <mergeCell ref="J98:J99"/>
    <mergeCell ref="K98:K99"/>
    <mergeCell ref="I98:I99"/>
    <mergeCell ref="B14:B18"/>
    <mergeCell ref="A27:A30"/>
    <mergeCell ref="B27:B30"/>
    <mergeCell ref="A31:A33"/>
    <mergeCell ref="B31:B33"/>
    <mergeCell ref="A34:A40"/>
    <mergeCell ref="B34:B40"/>
    <mergeCell ref="F98:F99"/>
    <mergeCell ref="G98:G99"/>
    <mergeCell ref="A52:A54"/>
    <mergeCell ref="B52:B54"/>
    <mergeCell ref="A41:A43"/>
    <mergeCell ref="B41:B43"/>
    <mergeCell ref="A14:A18"/>
    <mergeCell ref="A98:A99"/>
    <mergeCell ref="M98:M99"/>
    <mergeCell ref="O98:O99"/>
    <mergeCell ref="P98:P99"/>
    <mergeCell ref="Q98:Q99"/>
    <mergeCell ref="R98:R99"/>
    <mergeCell ref="S98:S99"/>
    <mergeCell ref="AA102:AA103"/>
    <mergeCell ref="AC102:AC103"/>
    <mergeCell ref="M102:M103"/>
    <mergeCell ref="N102:N103"/>
    <mergeCell ref="O102:O103"/>
    <mergeCell ref="T98:T99"/>
    <mergeCell ref="AB98:AB99"/>
    <mergeCell ref="Q106:Q107"/>
    <mergeCell ref="R106:R107"/>
    <mergeCell ref="S106:S107"/>
    <mergeCell ref="P102:P103"/>
    <mergeCell ref="Q102:Q103"/>
    <mergeCell ref="M106:M107"/>
    <mergeCell ref="N106:N107"/>
    <mergeCell ref="O106:O107"/>
    <mergeCell ref="P106:P107"/>
    <mergeCell ref="Y98:Y99"/>
    <mergeCell ref="AF106:AF107"/>
    <mergeCell ref="U110:U114"/>
    <mergeCell ref="W110:W114"/>
    <mergeCell ref="AA110:AA114"/>
    <mergeCell ref="AC110:AC114"/>
    <mergeCell ref="Y102:Y103"/>
    <mergeCell ref="AF102:AF103"/>
    <mergeCell ref="AE102:AE103"/>
    <mergeCell ref="Y110:Y114"/>
    <mergeCell ref="X102:X103"/>
    <mergeCell ref="AD106:AD107"/>
    <mergeCell ref="AE106:AE107"/>
    <mergeCell ref="Z102:Z103"/>
    <mergeCell ref="AB102:AB103"/>
    <mergeCell ref="AD102:AD103"/>
    <mergeCell ref="W106:W107"/>
    <mergeCell ref="X106:X107"/>
    <mergeCell ref="Y106:Y107"/>
    <mergeCell ref="Z106:Z107"/>
    <mergeCell ref="AA106:AA107"/>
    <mergeCell ref="AB106:AB107"/>
    <mergeCell ref="AC106:AC107"/>
    <mergeCell ref="F188:G188"/>
    <mergeCell ref="F187:G187"/>
    <mergeCell ref="F186:G186"/>
    <mergeCell ref="F185:G185"/>
    <mergeCell ref="U102:U103"/>
    <mergeCell ref="W102:W103"/>
    <mergeCell ref="R102:R103"/>
    <mergeCell ref="S102:S103"/>
    <mergeCell ref="K102:K103"/>
    <mergeCell ref="L102:L103"/>
    <mergeCell ref="F102:F103"/>
    <mergeCell ref="G102:G103"/>
    <mergeCell ref="H102:H103"/>
    <mergeCell ref="I102:I103"/>
    <mergeCell ref="J102:J103"/>
    <mergeCell ref="K106:K107"/>
    <mergeCell ref="L106:L107"/>
    <mergeCell ref="K110:K114"/>
    <mergeCell ref="M110:M114"/>
    <mergeCell ref="O110:O114"/>
    <mergeCell ref="J110:J114"/>
    <mergeCell ref="T106:T107"/>
    <mergeCell ref="U106:U107"/>
    <mergeCell ref="V106:V107"/>
    <mergeCell ref="U93:U94"/>
    <mergeCell ref="W93:W94"/>
    <mergeCell ref="AA93:AA94"/>
    <mergeCell ref="AC93:AC94"/>
    <mergeCell ref="U98:U99"/>
    <mergeCell ref="W98:W99"/>
    <mergeCell ref="AA98:AA99"/>
    <mergeCell ref="AC98:AC99"/>
    <mergeCell ref="AG3:AI3"/>
    <mergeCell ref="AD98:AD99"/>
    <mergeCell ref="AE98:AE99"/>
    <mergeCell ref="AF98:AF99"/>
    <mergeCell ref="AI98:AI99"/>
    <mergeCell ref="AH98:AH99"/>
  </mergeCells>
  <dataValidations count="1">
    <dataValidation allowBlank="1" showInputMessage="1" showErrorMessage="1" promptTitle="For Breakdown, Select Task" sqref="D12:D54 E7:F43 D7:D10" xr:uid="{00000000-0002-0000-0000-000000000000}"/>
  </dataValidations>
  <printOptions horizontalCentered="1"/>
  <pageMargins left="0.15" right="0" top="0.45" bottom="0.5" header="0.18" footer="0.3"/>
  <pageSetup paperSize="17" scale="39" fitToHeight="11" orientation="landscape" r:id="rId1"/>
  <headerFooter>
    <oddHeader>&amp;L&amp;"-,Bold"&amp;22&amp;D   &amp;36              &amp;C&amp;"-,Bold"&amp;36FY 12-13 Local Assistance Program Zero-Based Budget LAO Detail Report</oddHeader>
    <oddFooter>&amp;L&amp;P of &amp;N&amp;RRev 8-22-12</oddFooter>
  </headerFooter>
  <rowBreaks count="10" manualBreakCount="10">
    <brk id="33" max="38" man="1"/>
    <brk id="56" max="38" man="1"/>
    <brk id="73" max="38" man="1"/>
    <brk id="89" max="38" man="1"/>
    <brk id="115" max="38" man="1"/>
    <brk id="129" max="38" man="1"/>
    <brk id="144" max="38" man="1"/>
    <brk id="152" max="38" man="1"/>
    <brk id="159" max="38" man="1"/>
    <brk id="163" max="38" man="1"/>
  </rowBreak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6E619CE5B0C9458323E0289773CDB2" ma:contentTypeVersion="6" ma:contentTypeDescription="Create a new document." ma:contentTypeScope="" ma:versionID="55df144e35c33f64217c4db6841cf142">
  <xsd:schema xmlns:xsd="http://www.w3.org/2001/XMLSchema" xmlns:xs="http://www.w3.org/2001/XMLSchema" xmlns:p="http://schemas.microsoft.com/office/2006/metadata/properties" xmlns:ns2="8fa0fc1d-bd80-47fb-a35f-9b4442274e73" targetNamespace="http://schemas.microsoft.com/office/2006/metadata/properties" ma:root="true" ma:fieldsID="0902ee982dd2b845e4e55918e96bf66a" ns2:_="">
    <xsd:import namespace="8fa0fc1d-bd80-47fb-a35f-9b4442274e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fc1d-bd80-47fb-a35f-9b4442274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3767D4-BC14-4831-826C-CDA3ABB40CB0}">
  <ds:schemaRefs>
    <ds:schemaRef ds:uri="http://schemas.microsoft.com/sharepoint/v3/contenttype/forms"/>
  </ds:schemaRefs>
</ds:datastoreItem>
</file>

<file path=customXml/itemProps2.xml><?xml version="1.0" encoding="utf-8"?>
<ds:datastoreItem xmlns:ds="http://schemas.openxmlformats.org/officeDocument/2006/customXml" ds:itemID="{A87D1504-05C4-4D96-B496-DD50519571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fc1d-bd80-47fb-a35f-9b4442274e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F4319-CC66-41AC-BACA-6C93097E5F34}">
  <ds:schemaRefs>
    <ds:schemaRef ds:uri="8fa0fc1d-bd80-47fb-a35f-9b4442274e73"/>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1</vt:i4>
      </vt:variant>
      <vt:variant>
        <vt:lpstr>Named Ranges</vt:lpstr>
      </vt:variant>
      <vt:variant>
        <vt:i4>2</vt:i4>
      </vt:variant>
    </vt:vector>
  </HeadingPairs>
  <TitlesOfParts>
    <vt:vector baseType="lpstr" size="3">
      <vt:lpstr>ZBB Detail</vt:lpstr>
      <vt:lpstr>'ZBB Detail'!Print_Area</vt:lpstr>
      <vt:lpstr>'ZBB Detail'!Print_Titles</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